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 a fakturace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<sst xmlns="http://schemas.openxmlformats.org/spreadsheetml/2006/main" count="1702" uniqueCount="492">
  <si>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</si>
  <si>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</si>
  <si>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</si>
  <si>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</si>
  <si>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</si>
  <si>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</si>
  <si>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</si>
  <si>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</si>
  <si>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</si>
  <si>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</si>
  <si>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</si>
  <si>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</si>
  <si>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</si>
  <si>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</si>
  <si>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</si>
  <si>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</si>
  <si>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</si>
  <si>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</si>
  <si>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</si>
  <si>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</si>
  <si>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</si>
  <si>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</si>
  <si>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</si>
  <si>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</si>
  <si>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</si>
  <si>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</si>
  <si>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</si>
  <si>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</si>
  <si>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</si>
  <si>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</si>
  <si>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</si>
  <si>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</si>
  <si>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</si>
  <si>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</si>
  <si>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</si>
  <si>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</si>
  <si>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</si>
  <si>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</si>
  <si>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</si>
  <si>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</si>
  <si>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</si>
  <si>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</si>
  <si>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</si>
  <si>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</si>
  <si>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</si>
  <si>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</si>
  <si>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</si>
  <si>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</si>
  <si>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</si>
  <si>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</si>
  <si>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</si>
  <si>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</si>
  <si>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</si>
  <si>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</si>
  <si>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</si>
  <si>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</si>
  <si>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</si>
  <si>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</si>
  <si>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</si>
  <si>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</si>
  <si>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</si>
  <si>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</si>
  <si>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</si>
  <si>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</si>
  <si>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</si>
  <si>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</si>
  <si>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</si>
  <si>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</si>
  <si>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</si>
  <si>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</si>
  <si>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</si>
  <si>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</si>
  <si>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</si>
  <si>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</si>
  <si>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</si>
  <si>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</si>
  <si>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</si>
  <si>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</si>
  <si>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</si>
  <si>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</si>
  <si>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</si>
  <si>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</si>
  <si>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</si>
  <si>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</si>
  <si>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</si>
  <si>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</si>
  <si>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</si>
  <si>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</si>
  <si>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</si>
  <si>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</si>
  <si>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</si>
  <si>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</si>
  <si>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</si>
  <si>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</si>
  <si>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</si>
  <si>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</si>
  <si>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</si>
  <si>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</si>
  <si>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</si>
  <si>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</si>
  <si>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</si>
  <si>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</si>
  <si>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Poznámka:</t>
  </si>
  <si>
    <t>Objekt</t>
  </si>
  <si>
    <t>Kód</t>
  </si>
  <si>
    <t>317121101R00</t>
  </si>
  <si>
    <t>317121102R00</t>
  </si>
  <si>
    <t>310237251RT1</t>
  </si>
  <si>
    <t>342270012RA0</t>
  </si>
  <si>
    <t>342270010RA0</t>
  </si>
  <si>
    <t>342256256R00</t>
  </si>
  <si>
    <t>416026222R00</t>
  </si>
  <si>
    <t>416093111R00</t>
  </si>
  <si>
    <t>612481211RT2</t>
  </si>
  <si>
    <t>612473182R00</t>
  </si>
  <si>
    <t>612401291R00</t>
  </si>
  <si>
    <t>612401191R00</t>
  </si>
  <si>
    <t>632411906R00</t>
  </si>
  <si>
    <t>721</t>
  </si>
  <si>
    <t>721152205R00</t>
  </si>
  <si>
    <t>721152208R00</t>
  </si>
  <si>
    <t>721170909R00</t>
  </si>
  <si>
    <t>721170915R00</t>
  </si>
  <si>
    <t>721170955R00</t>
  </si>
  <si>
    <t>721171239R00</t>
  </si>
  <si>
    <t>721171809R00</t>
  </si>
  <si>
    <t>721171803R00</t>
  </si>
  <si>
    <t>722</t>
  </si>
  <si>
    <t>722171211R00</t>
  </si>
  <si>
    <t>722171912R00</t>
  </si>
  <si>
    <t>722172351R00</t>
  </si>
  <si>
    <t>722172912R00</t>
  </si>
  <si>
    <t>722172962R00</t>
  </si>
  <si>
    <t>722181211RT5</t>
  </si>
  <si>
    <t>722202213R00</t>
  </si>
  <si>
    <t>722202412R00</t>
  </si>
  <si>
    <t>722290234R00</t>
  </si>
  <si>
    <t>722170801R00</t>
  </si>
  <si>
    <t>725</t>
  </si>
  <si>
    <t>725110811R00</t>
  </si>
  <si>
    <t>725114959R00</t>
  </si>
  <si>
    <t>725119110R00</t>
  </si>
  <si>
    <t>725119306R00</t>
  </si>
  <si>
    <t>725119401R00</t>
  </si>
  <si>
    <t>725210821R00</t>
  </si>
  <si>
    <t>725219201R00</t>
  </si>
  <si>
    <t>725220851R00</t>
  </si>
  <si>
    <t>726</t>
  </si>
  <si>
    <t>726211121R00</t>
  </si>
  <si>
    <t>766</t>
  </si>
  <si>
    <t>766661112R00</t>
  </si>
  <si>
    <t>766661122R00</t>
  </si>
  <si>
    <t>766661422R00</t>
  </si>
  <si>
    <t>766662811R00</t>
  </si>
  <si>
    <t>766664213R00</t>
  </si>
  <si>
    <t>771</t>
  </si>
  <si>
    <t>771575105RU7</t>
  </si>
  <si>
    <t>775</t>
  </si>
  <si>
    <t>775981101R00</t>
  </si>
  <si>
    <t>776</t>
  </si>
  <si>
    <t>776510010RA0</t>
  </si>
  <si>
    <t>776520110RAG</t>
  </si>
  <si>
    <t>781</t>
  </si>
  <si>
    <t>781280110R00</t>
  </si>
  <si>
    <t>784</t>
  </si>
  <si>
    <t>784111201R00</t>
  </si>
  <si>
    <t>784125422R00</t>
  </si>
  <si>
    <t>784195412R00</t>
  </si>
  <si>
    <t>952901111R00</t>
  </si>
  <si>
    <t>952902110R00</t>
  </si>
  <si>
    <t>953761133R00</t>
  </si>
  <si>
    <t>968071125R00</t>
  </si>
  <si>
    <t>968072455R00</t>
  </si>
  <si>
    <t>962036125R00</t>
  </si>
  <si>
    <t>967041112R00</t>
  </si>
  <si>
    <t>97</t>
  </si>
  <si>
    <t>971042351R00</t>
  </si>
  <si>
    <t>H01</t>
  </si>
  <si>
    <t>998012023R00</t>
  </si>
  <si>
    <t>M21</t>
  </si>
  <si>
    <t>210290033R00</t>
  </si>
  <si>
    <t>210290061R00</t>
  </si>
  <si>
    <t>M22</t>
  </si>
  <si>
    <t>220260000R00</t>
  </si>
  <si>
    <t>S</t>
  </si>
  <si>
    <t>979011111R00</t>
  </si>
  <si>
    <t>979011121R00</t>
  </si>
  <si>
    <t>979081111R00</t>
  </si>
  <si>
    <t>979081121R00</t>
  </si>
  <si>
    <t>979082111R00</t>
  </si>
  <si>
    <t>979088212R00</t>
  </si>
  <si>
    <t>979990107R00</t>
  </si>
  <si>
    <t>979990181R00</t>
  </si>
  <si>
    <t>642328603</t>
  </si>
  <si>
    <t>55345504</t>
  </si>
  <si>
    <t>19451230</t>
  </si>
  <si>
    <t>61161901</t>
  </si>
  <si>
    <t>61161902</t>
  </si>
  <si>
    <t>61161905</t>
  </si>
  <si>
    <t>61181506</t>
  </si>
  <si>
    <t>61181507</t>
  </si>
  <si>
    <t>61181560</t>
  </si>
  <si>
    <t>59321898</t>
  </si>
  <si>
    <t>59321902</t>
  </si>
  <si>
    <t>5537019611</t>
  </si>
  <si>
    <t>5537009231</t>
  </si>
  <si>
    <t>55144235</t>
  </si>
  <si>
    <t>55145016</t>
  </si>
  <si>
    <t>64213620</t>
  </si>
  <si>
    <t>34751240</t>
  </si>
  <si>
    <t>34814141</t>
  </si>
  <si>
    <t>34823282.01</t>
  </si>
  <si>
    <t>34551612</t>
  </si>
  <si>
    <t>34535441</t>
  </si>
  <si>
    <t>34536496</t>
  </si>
  <si>
    <t>34536514</t>
  </si>
  <si>
    <t>Objekt DS 1, III.N.p. - sesterna</t>
  </si>
  <si>
    <t>Domov Sedlčany, poskytovatel sociálních služeb</t>
  </si>
  <si>
    <t>Zkrácený popis</t>
  </si>
  <si>
    <t>Rozměry</t>
  </si>
  <si>
    <t>Zdi podpěrné a volné</t>
  </si>
  <si>
    <t>Osazení překladu světlost otvoru do 105 cm</t>
  </si>
  <si>
    <t>Osazení překladu světlost otvoru do 180 cm</t>
  </si>
  <si>
    <t>Zazdívka otvorů pl. 0,25 m2 cihlami, tl. zdi 45 cm</t>
  </si>
  <si>
    <t>Stěny a příčky</t>
  </si>
  <si>
    <t>Příčka z tvárnic pórobetonových, tloušťka 10 cm</t>
  </si>
  <si>
    <t>Příčka z tvárnic pórobetonových, tloušťka 7,5 cm</t>
  </si>
  <si>
    <t>Zazdívka  modul  z tvárnic pórobetonových PORFIX tl. 200 mm</t>
  </si>
  <si>
    <t>Stropy a stropní konstrukce (pro pozemní stavby)</t>
  </si>
  <si>
    <t>Podhled SDK,ocel.dvouúrov.kříž.rošt, 2x RF 12,5 mm - kaslík</t>
  </si>
  <si>
    <t>Čelo podhledu SDK, v.do 200 mm, 1xCD, 1xRB 12,5 mm - kaslík</t>
  </si>
  <si>
    <t>Úprava povrchů vnitřní</t>
  </si>
  <si>
    <t>Montáž výztužné sítě(perlinky)do stěrky-vnit.stěny</t>
  </si>
  <si>
    <t>Omítka vnitř.zdiva ze such.směsi, štuková, strojně</t>
  </si>
  <si>
    <t>Omítka malých ploch vnitřních stěn do 0,25 m2</t>
  </si>
  <si>
    <t>Omítka malých ploch vnitřních stěn do 0,09 m2</t>
  </si>
  <si>
    <t>Podlahy a podlahové konstrukce</t>
  </si>
  <si>
    <t>Penetrace velmi savých podkladů Cemix 0,35 l/m2</t>
  </si>
  <si>
    <t>Vnitřní kanalizace</t>
  </si>
  <si>
    <t>Potrubí Geberit PE odpadní - připojovací, D 50 x 3,0 mm</t>
  </si>
  <si>
    <t>Potrubí Geberit PE odpadní - připojovací, D 110 x 4,3 mm</t>
  </si>
  <si>
    <t>Oprava potrubí PVC odpadní, vsazení odbočky D 110</t>
  </si>
  <si>
    <t>Oprava potrubí PVC odpadní, ohyb potrubí D 50</t>
  </si>
  <si>
    <t>Oprava-vsazení odbočky, potrubí PVC hrdlové D 110</t>
  </si>
  <si>
    <t>Tvarovka k připojení závěsného WC HL227, D 90/110</t>
  </si>
  <si>
    <t>Demontáž potrubí z PVC do D 160 mm</t>
  </si>
  <si>
    <t>Demontáž potrubí z PVC do D 75 mm</t>
  </si>
  <si>
    <t>Vnitřní vodovod</t>
  </si>
  <si>
    <t>Potrubí z PEHD, D 20 x 2,0 mm</t>
  </si>
  <si>
    <t>Odříznutí plastové trubky D 20 mm</t>
  </si>
  <si>
    <t>Křížení potrubí z PPR, D 20 x 3,4 mm, PN 20</t>
  </si>
  <si>
    <t>Propojení plastového potrubí polyf.D 20 mm,vodovod</t>
  </si>
  <si>
    <t>Vsaz.odboč.do plast.potrubí polyf.D 20 mm, vodovod</t>
  </si>
  <si>
    <t>Izolace návleková MIRELON PRO tl. stěny 6 mm</t>
  </si>
  <si>
    <t>Nástěnka MZD PP-R INSTAPLAST D 20xR1/2</t>
  </si>
  <si>
    <t>Kohout kulový nerozebíratelný PP-R INSTAPLAST D 20</t>
  </si>
  <si>
    <t>Proplach a dezinfekce vodovod.potrubí</t>
  </si>
  <si>
    <t>Demontáž rozvodů vody z plastů do D 32</t>
  </si>
  <si>
    <t>Zařizovací předměty</t>
  </si>
  <si>
    <t>Demontáž klozetů splachovacích</t>
  </si>
  <si>
    <t>Sedátko č. 9164.0 OLYMP bílé</t>
  </si>
  <si>
    <t>Montáž splachovací nádrže Kombifix pro WC</t>
  </si>
  <si>
    <t>Montáž klozetu závěsného</t>
  </si>
  <si>
    <t>Montáž předstěnových systémů pro zazdění</t>
  </si>
  <si>
    <t>Demontáž umyvadel bez výtokových armatur</t>
  </si>
  <si>
    <t>Montáž umyvadel na konzoly</t>
  </si>
  <si>
    <t>Demontáž van včetně vybourání obezdezdívky</t>
  </si>
  <si>
    <t>Instalační prefabrikáty</t>
  </si>
  <si>
    <t>Modul pro WC Kombifix, UP320, h 108 cm</t>
  </si>
  <si>
    <t>Konstrukce truhlářské</t>
  </si>
  <si>
    <t>Montáž dveří do zárubně,otevíravých 1kř.do 0,8 m</t>
  </si>
  <si>
    <t>Montáž dveří do zárubně,otevíravých 1kř.nad 0,8 m</t>
  </si>
  <si>
    <t>Montáž dveří protipožárních 1kříd. nad 80 cm</t>
  </si>
  <si>
    <t>Demontáž prahů dveří 1křídlových</t>
  </si>
  <si>
    <t>Montáž obložkové zárubně</t>
  </si>
  <si>
    <t>Podlahy z dlaždic</t>
  </si>
  <si>
    <t>Montáž podlah keram.,režné hladké, tmel, 15x15 cm vč. dodávky</t>
  </si>
  <si>
    <t>Podlahy vlysové a parketové</t>
  </si>
  <si>
    <t>Montáž přechodové, podlahové lišty do tmele</t>
  </si>
  <si>
    <t>Podlahy povlakové</t>
  </si>
  <si>
    <t>Demontáž povlakových podlah z nášlapné plochy</t>
  </si>
  <si>
    <t>Podlaha povlaková z PVC pásů, soklík, stěrka</t>
  </si>
  <si>
    <t>Obklady (keramické)</t>
  </si>
  <si>
    <t>Obkládání stěn  keramický obklad včetně dodávky</t>
  </si>
  <si>
    <t>Malby</t>
  </si>
  <si>
    <t>Penetrace podkladu nátěrem V1308  1 x</t>
  </si>
  <si>
    <t>Malba Jupol Brilliant, bar., bez penetr.2x</t>
  </si>
  <si>
    <t>Oprava malby Primalex Polar, bílá, bez penetrace, 2 x - chodba</t>
  </si>
  <si>
    <t>Různé dokončovací konstrukce a práce na pozemních stavbách</t>
  </si>
  <si>
    <t>Vyčištění budov o výšce podlaží do 4 m</t>
  </si>
  <si>
    <t>Čištění zametáním v místnostech a chodbách denně</t>
  </si>
  <si>
    <t>Odvětrání troubami PVC kruhovými 160x3,2 mm</t>
  </si>
  <si>
    <t>Bourání konstrukcí</t>
  </si>
  <si>
    <t>Vyvěšení, zavěšení  křídel dveří pl. 2 m2</t>
  </si>
  <si>
    <t>Vybourání kovových dveřních zárubní pl. do 2 m2</t>
  </si>
  <si>
    <t>DMTZ  příčky dřevěné, 2x opláštěné 12,5 mm</t>
  </si>
  <si>
    <t>Přisekání rovných ostění bez odstupu v betonu</t>
  </si>
  <si>
    <t>Prorážení otvorů a ostatní bourací práce</t>
  </si>
  <si>
    <t>Vybourání otvorů zdi betonové pl. 0,09 m2, tl.45cm</t>
  </si>
  <si>
    <t>Budovy občanské výstavby</t>
  </si>
  <si>
    <t>Přesun hmot pro budovy monolitické výšky do 24 m</t>
  </si>
  <si>
    <t>Elektromontáže</t>
  </si>
  <si>
    <t>Demontáž rozvodů elektro - vlastní položka</t>
  </si>
  <si>
    <t>Rozvody elektro - montáže, vlastní položka</t>
  </si>
  <si>
    <t>Montáže sdělovací a zabezpečovací techniky</t>
  </si>
  <si>
    <t>Demontáž a montáž slaboproudu, vlastní položka</t>
  </si>
  <si>
    <t>Přesuny sutí</t>
  </si>
  <si>
    <t>Svislá doprava suti a vybour. hmot za 2.NP a 1.PP</t>
  </si>
  <si>
    <t>Příplatek za každé další podlaží</t>
  </si>
  <si>
    <t>Odvoz suti a vybour. hmot na skládku do 1 km</t>
  </si>
  <si>
    <t>Příplatek k odvozu za každý další 1 km - 10 km</t>
  </si>
  <si>
    <t>Vnitrostaveništní doprava suti do 10 m</t>
  </si>
  <si>
    <t>Nakládání suti na dopr.prostředky-zvlášt.zakl.obj.</t>
  </si>
  <si>
    <t>Poplatek za uložení suti - směs betonu,cihel,dřeva, skupina odpadu 170904</t>
  </si>
  <si>
    <t>Poplatek za uložení suti - PVC podlahová krytina, skupina odpadu 200307</t>
  </si>
  <si>
    <t>Ostatní materiál</t>
  </si>
  <si>
    <t>Klozet kombi. DEEP vodor. odpad, spodní napouštění</t>
  </si>
  <si>
    <t>Dveře požární 1kříd.-30 min EI 30 DP1 110x197 cm</t>
  </si>
  <si>
    <t>Kování Al.  dveře vnitřní</t>
  </si>
  <si>
    <t>Dveře vnitřní hladké plné  1kř. 70x197 dýha</t>
  </si>
  <si>
    <t>Dveře vnitřní hladké plné 1kř. 80x197 dýha</t>
  </si>
  <si>
    <t>Dveře vnitřní hladké plné  1 kř. 110x197 dýha</t>
  </si>
  <si>
    <t>Zárubeň obložková NORMAL š. 70 cm/stě.  6-17 cm</t>
  </si>
  <si>
    <t>Zárubeň obložková NORMAL š. 80 cm/stě.  6-17 cm</t>
  </si>
  <si>
    <t>Zárubeň obložková NORMAL š. 110 cm/stě. 6-17 cm</t>
  </si>
  <si>
    <t>Překlad nenosný  Ytong NEP 100-1250</t>
  </si>
  <si>
    <t>Překlad nenosný  Ytong NEP 100-2500</t>
  </si>
  <si>
    <t>Lišta přechodová narážecí Al 26/ST l=270 cm stříbr ( 2 x 110 cm dveře )</t>
  </si>
  <si>
    <t>Lišta přechodová Al 462/CV vrtaná l=90 cm stříbro</t>
  </si>
  <si>
    <t>Baterie umyvadlová Chrome CR 012.00</t>
  </si>
  <si>
    <t>Baterie dřezová nástěnná TM06B</t>
  </si>
  <si>
    <t>Umyvadlo CUBITO PURE 65x48,5 cm otvor pro baterii</t>
  </si>
  <si>
    <t>Zářivka lineární OSRAM NATURA 18W/76</t>
  </si>
  <si>
    <t>Svítidlo stropní zářivk. HOOVER4-218-EP, 2x18 W</t>
  </si>
  <si>
    <t>Svítidlo stropní zářivkové 2315723 +18 W+startér</t>
  </si>
  <si>
    <t>Zásuvka Tango 5518A-A2359</t>
  </si>
  <si>
    <t>Strojek spínače 2pólového Tango 3559-A02345</t>
  </si>
  <si>
    <t>Kryt spínače Tango</t>
  </si>
  <si>
    <t>Kryt zásuvky</t>
  </si>
  <si>
    <t>Doba výstavby:</t>
  </si>
  <si>
    <t>Začátek výstavby:</t>
  </si>
  <si>
    <t>Konec výstavby:</t>
  </si>
  <si>
    <t>Zpracováno dne:</t>
  </si>
  <si>
    <t>MJ</t>
  </si>
  <si>
    <t>kus</t>
  </si>
  <si>
    <t>m2</t>
  </si>
  <si>
    <t>m</t>
  </si>
  <si>
    <t>soubor</t>
  </si>
  <si>
    <t>t</t>
  </si>
  <si>
    <t>ks</t>
  </si>
  <si>
    <t>Množství</t>
  </si>
  <si>
    <t>137 dní</t>
  </si>
  <si>
    <t>15.11.2021</t>
  </si>
  <si>
    <t>31.03.2022</t>
  </si>
  <si>
    <t>31.10.2021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</si>
  <si>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</si>
  <si>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</si>
  <si>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</si>
  <si>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</si>
  <si>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</si>
  <si>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</si>
  <si>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</si>
  <si>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</si>
  <si>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</si>
  <si>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</si>
  <si>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Mgr. Josef Šimonvský</t>
  </si>
  <si>
    <t>Montáž</t>
  </si>
  <si>
    <t>Celkem</t>
  </si>
  <si>
    <t>Hmotnost (t)</t>
  </si>
  <si>
    <t>Jednot.</t>
  </si>
  <si>
    <t>Cenová</t>
  </si>
  <si>
    <t>soustava</t>
  </si>
  <si>
    <t>RTS II / 2021</t>
  </si>
  <si>
    <t>RTS II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</si>
  <si>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</si>
  <si>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</si>
  <si>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</si>
  <si>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</si>
  <si>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</si>
  <si>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</si>
  <si>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</si>
  <si>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</si>
  <si>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</si>
  <si>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</si>
  <si>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31_</t>
  </si>
  <si>
    <t>34_</t>
  </si>
  <si>
    <t>41_</t>
  </si>
  <si>
    <t>61_</t>
  </si>
  <si>
    <t>63_</t>
  </si>
  <si>
    <t>721_</t>
  </si>
  <si>
    <t>722_</t>
  </si>
  <si>
    <t>725_</t>
  </si>
  <si>
    <t>726_</t>
  </si>
  <si>
    <t>766_</t>
  </si>
  <si>
    <t>771_</t>
  </si>
  <si>
    <t>775_</t>
  </si>
  <si>
    <t>776_</t>
  </si>
  <si>
    <t>781_</t>
  </si>
  <si>
    <t>784_</t>
  </si>
  <si>
    <t>95_</t>
  </si>
  <si>
    <t>96_</t>
  </si>
  <si>
    <t>97_</t>
  </si>
  <si>
    <t>H01_</t>
  </si>
  <si>
    <t>M21_</t>
  </si>
  <si>
    <t>M22_</t>
  </si>
  <si>
    <t>S_</t>
  </si>
  <si>
    <t>Z99999_</t>
  </si>
  <si>
    <t>3_</t>
  </si>
  <si>
    <t>4_</t>
  </si>
  <si>
    <t>6_</t>
  </si>
  <si>
    <t>72_</t>
  </si>
  <si>
    <t>76_</t>
  </si>
  <si>
    <t>77_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</si>
  <si>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</si>
  <si>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</si>
  <si>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</si>
  <si>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</si>
  <si>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</si>
  <si>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</si>
  <si>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</si>
  <si>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</si>
  <si>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</si>
  <si>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</si>
  <si>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</si>
  <si>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</si>
  <si>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</si>
  <si>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</si>
  <si>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</si>
  <si>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</si>
  <si>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</si>
  <si>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</si>
  <si>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Potřebné množství</t>
  </si>
  <si>
    <t>Harmonogram</t>
  </si>
  <si>
    <t>Nh</t>
  </si>
  <si>
    <t>Zdroje</t>
  </si>
  <si>
    <t>Trvání</t>
  </si>
  <si>
    <t>Rozpočet (Kč)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</si>
  <si>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</si>
  <si>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</si>
  <si>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</si>
  <si>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</si>
  <si>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</si>
  <si>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</si>
  <si>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</si>
  <si>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</si>
  <si>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</si>
  <si>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</si>
  <si>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</si>
  <si>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</si>
  <si>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</si>
  <si>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</si>
  <si>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</si>
  <si>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</si>
  <si>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</si>
  <si>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</si>
  <si>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</si>
  <si>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</si>
  <si>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</si>
  <si>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</si>
  <si>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</si>
  <si>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</si>
  <si>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</si>
  <si>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</si>
  <si>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</si>
  <si>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</si>
  <si>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</si>
  <si>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</si>
  <si>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</si>
  <si>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</si>
  <si>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</si>
  <si>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</si>
  <si>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</si>
  <si>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</si>
  <si>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</si>
  <si>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</si>
  <si>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</si>
  <si>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</si>
  <si>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</si>
  <si>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</si>
  <si>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</si>
  <si>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</si>
  <si>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</si>
  <si>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</si>
  <si>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</si>
  <si>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</si>
  <si>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</si>
  <si>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</si>
  <si>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</si>
  <si>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</si>
  <si>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</si>
  <si>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OPRAVA SESTEREN A KLUBOVEN</t>
  </si>
  <si>
    <t>Stavební rozpočet - výkaz výměr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</si>
</sst>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righ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1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" fontId="6" fillId="0" borderId="38" xfId="0" applyNumberFormat="1" applyFont="1" applyFill="1" applyBorder="1" applyAlignment="1" applyProtection="1">
      <alignment horizontal="right" vertical="center"/>
      <protection/>
    </xf>
    <xf numFmtId="4" fontId="6" fillId="0" borderId="39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8" fillId="33" borderId="40" xfId="0" applyNumberFormat="1" applyFont="1" applyFill="1" applyBorder="1" applyAlignment="1" applyProtection="1">
      <alignment horizontal="right" vertical="center"/>
      <protection/>
    </xf>
    <xf numFmtId="4" fontId="8" fillId="33" borderId="38" xfId="0" applyNumberFormat="1" applyFont="1" applyFill="1" applyBorder="1" applyAlignment="1" applyProtection="1">
      <alignment horizontal="right" vertical="center"/>
      <protection/>
    </xf>
    <xf numFmtId="4" fontId="8" fillId="33" borderId="41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8" fillId="33" borderId="30" xfId="0" applyNumberFormat="1" applyFont="1" applyFill="1" applyBorder="1" applyAlignment="1" applyProtection="1">
      <alignment horizontal="right" vertical="center"/>
      <protection/>
    </xf>
    <xf numFmtId="4" fontId="6" fillId="0" borderId="30" xfId="0" applyNumberFormat="1" applyFont="1" applyFill="1" applyBorder="1" applyAlignment="1" applyProtection="1">
      <alignment horizontal="right" vertical="center"/>
      <protection/>
    </xf>
    <xf numFmtId="4" fontId="6" fillId="0" borderId="42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8" fillId="33" borderId="28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43" xfId="0" applyNumberFormat="1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43" xfId="0" applyNumberFormat="1" applyFont="1" applyFill="1" applyBorder="1" applyAlignment="1" applyProtection="1">
      <alignment horizontal="right" vertical="center"/>
      <protection/>
    </xf>
    <xf numFmtId="49" fontId="12" fillId="0" borderId="43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34" borderId="4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0" fontId="3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right" vertical="center"/>
      <protection/>
    </xf>
    <xf numFmtId="0" fontId="3" fillId="0" borderId="46" xfId="0" applyNumberFormat="1" applyFont="1" applyFill="1" applyBorder="1" applyAlignment="1" applyProtection="1">
      <alignment horizontal="right" vertical="center"/>
      <protection/>
    </xf>
    <xf numFmtId="0" fontId="3" fillId="0" borderId="59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6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49" fontId="13" fillId="0" borderId="63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63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63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1" fillId="34" borderId="63" xfId="0" applyNumberFormat="1" applyFont="1" applyFill="1" applyBorder="1" applyAlignment="1" applyProtection="1">
      <alignment horizontal="left" vertical="center"/>
      <protection/>
    </xf>
    <xf numFmtId="0" fontId="11" fillId="34" borderId="62" xfId="0" applyNumberFormat="1" applyFont="1" applyFill="1" applyBorder="1" applyAlignment="1" applyProtection="1">
      <alignment horizontal="left" vertical="center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64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6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</xdr:colOff>
      <xdr:row>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152400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</xdr:colOff>
      <xdr:row>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</xdr:colOff>
      <xdr:row>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47625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3"/>
  <sheetViews>
    <sheetView zoomScalePageLayoutView="0" workbookViewId="0" topLeftCell="A1">
      <pane ySplit="11" topLeftCell="A65" activePane="bottomLeft" state="frozen"/>
      <selection pane="topLeft" activeCell="A1" sqref="A1"/>
      <selection pane="bottomLeft" activeCell="H131" sqref="H13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61.71093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09" t="s">
        <v>491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5" ht="12.75">
      <c r="A2" s="111" t="s">
        <v>0</v>
      </c>
      <c r="B2" s="112"/>
      <c r="C2" s="112"/>
      <c r="D2" s="115" t="s">
        <v>490</v>
      </c>
      <c r="E2" s="116"/>
      <c r="F2" s="118" t="s">
        <v>339</v>
      </c>
      <c r="G2" s="112"/>
      <c r="H2" s="118" t="s">
        <v>351</v>
      </c>
      <c r="I2" s="119" t="s">
        <v>357</v>
      </c>
      <c r="J2" s="118" t="s">
        <v>364</v>
      </c>
      <c r="K2" s="112"/>
      <c r="L2" s="112"/>
      <c r="M2" s="112"/>
      <c r="N2" s="120"/>
      <c r="O2" s="39"/>
    </row>
    <row r="3" spans="1:15" ht="12.75">
      <c r="A3" s="113"/>
      <c r="B3" s="114"/>
      <c r="C3" s="114"/>
      <c r="D3" s="117"/>
      <c r="E3" s="117"/>
      <c r="F3" s="114"/>
      <c r="G3" s="114"/>
      <c r="H3" s="114"/>
      <c r="I3" s="114"/>
      <c r="J3" s="114"/>
      <c r="K3" s="114"/>
      <c r="L3" s="114"/>
      <c r="M3" s="114"/>
      <c r="N3" s="121"/>
      <c r="O3" s="39"/>
    </row>
    <row r="4" spans="1:15" ht="12.75">
      <c r="A4" s="122" t="s">
        <v>1</v>
      </c>
      <c r="B4" s="114"/>
      <c r="C4" s="114"/>
      <c r="D4" s="123" t="s">
        <v>216</v>
      </c>
      <c r="E4" s="114"/>
      <c r="F4" s="124" t="s">
        <v>340</v>
      </c>
      <c r="G4" s="114"/>
      <c r="H4" s="124" t="s">
        <v>352</v>
      </c>
      <c r="I4" s="123" t="s">
        <v>358</v>
      </c>
      <c r="J4" s="124" t="s">
        <v>364</v>
      </c>
      <c r="K4" s="114"/>
      <c r="L4" s="114"/>
      <c r="M4" s="114"/>
      <c r="N4" s="121"/>
      <c r="O4" s="39"/>
    </row>
    <row r="5" spans="1:15" ht="12.7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1"/>
      <c r="O5" s="39"/>
    </row>
    <row r="6" spans="1:15" ht="12.75">
      <c r="A6" s="122" t="s">
        <v>2</v>
      </c>
      <c r="B6" s="114"/>
      <c r="C6" s="114"/>
      <c r="D6" s="123" t="s">
        <v>217</v>
      </c>
      <c r="E6" s="114"/>
      <c r="F6" s="124" t="s">
        <v>341</v>
      </c>
      <c r="G6" s="114"/>
      <c r="H6" s="124" t="s">
        <v>353</v>
      </c>
      <c r="I6" s="123" t="s">
        <v>359</v>
      </c>
      <c r="J6" s="124" t="s">
        <v>364</v>
      </c>
      <c r="K6" s="114"/>
      <c r="L6" s="114"/>
      <c r="M6" s="114"/>
      <c r="N6" s="121"/>
      <c r="O6" s="39"/>
    </row>
    <row r="7" spans="1:15" ht="12.7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21"/>
      <c r="O7" s="39"/>
    </row>
    <row r="8" spans="1:15" ht="12.75">
      <c r="A8" s="122" t="s">
        <v>3</v>
      </c>
      <c r="B8" s="114"/>
      <c r="C8" s="114"/>
      <c r="D8" s="123">
        <v>8012122</v>
      </c>
      <c r="E8" s="114"/>
      <c r="F8" s="124" t="s">
        <v>342</v>
      </c>
      <c r="G8" s="114"/>
      <c r="H8" s="124" t="s">
        <v>354</v>
      </c>
      <c r="I8" s="123" t="s">
        <v>360</v>
      </c>
      <c r="J8" s="123" t="s">
        <v>365</v>
      </c>
      <c r="K8" s="114"/>
      <c r="L8" s="114"/>
      <c r="M8" s="114"/>
      <c r="N8" s="121"/>
      <c r="O8" s="39"/>
    </row>
    <row r="9" spans="1:15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39"/>
    </row>
    <row r="10" spans="1:64" ht="12.75">
      <c r="A10" s="1" t="s">
        <v>4</v>
      </c>
      <c r="B10" s="10" t="s">
        <v>103</v>
      </c>
      <c r="C10" s="10" t="s">
        <v>104</v>
      </c>
      <c r="D10" s="128" t="s">
        <v>218</v>
      </c>
      <c r="E10" s="129"/>
      <c r="F10" s="10" t="s">
        <v>343</v>
      </c>
      <c r="G10" s="20" t="s">
        <v>350</v>
      </c>
      <c r="H10" s="24" t="s">
        <v>355</v>
      </c>
      <c r="I10" s="130" t="s">
        <v>361</v>
      </c>
      <c r="J10" s="131"/>
      <c r="K10" s="132"/>
      <c r="L10" s="130" t="s">
        <v>368</v>
      </c>
      <c r="M10" s="132"/>
      <c r="N10" s="32" t="s">
        <v>370</v>
      </c>
      <c r="O10" s="40"/>
      <c r="BK10" s="31" t="s">
        <v>420</v>
      </c>
      <c r="BL10" s="45" t="s">
        <v>423</v>
      </c>
    </row>
    <row r="11" spans="1:62" ht="12.75">
      <c r="A11" s="2" t="s">
        <v>5</v>
      </c>
      <c r="B11" s="11" t="s">
        <v>5</v>
      </c>
      <c r="C11" s="11" t="s">
        <v>5</v>
      </c>
      <c r="D11" s="133" t="s">
        <v>219</v>
      </c>
      <c r="E11" s="134"/>
      <c r="F11" s="11" t="s">
        <v>5</v>
      </c>
      <c r="G11" s="11" t="s">
        <v>5</v>
      </c>
      <c r="H11" s="25" t="s">
        <v>356</v>
      </c>
      <c r="I11" s="26" t="s">
        <v>362</v>
      </c>
      <c r="J11" s="28" t="s">
        <v>366</v>
      </c>
      <c r="K11" s="29" t="s">
        <v>367</v>
      </c>
      <c r="L11" s="26" t="s">
        <v>369</v>
      </c>
      <c r="M11" s="29" t="s">
        <v>367</v>
      </c>
      <c r="N11" s="33" t="s">
        <v>371</v>
      </c>
      <c r="O11" s="40"/>
      <c r="Z11" s="31" t="s">
        <v>374</v>
      </c>
      <c r="AA11" s="31" t="s">
        <v>375</v>
      </c>
      <c r="AB11" s="31" t="s">
        <v>376</v>
      </c>
      <c r="AC11" s="31" t="s">
        <v>377</v>
      </c>
      <c r="AD11" s="31" t="s">
        <v>378</v>
      </c>
      <c r="AE11" s="31" t="s">
        <v>379</v>
      </c>
      <c r="AF11" s="31" t="s">
        <v>380</v>
      </c>
      <c r="AG11" s="31" t="s">
        <v>381</v>
      </c>
      <c r="AH11" s="31" t="s">
        <v>382</v>
      </c>
      <c r="BH11" s="31" t="s">
        <v>417</v>
      </c>
      <c r="BI11" s="31" t="s">
        <v>418</v>
      </c>
      <c r="BJ11" s="31" t="s">
        <v>419</v>
      </c>
    </row>
    <row r="12" spans="1:47" ht="12.75">
      <c r="A12" s="3"/>
      <c r="B12" s="12"/>
      <c r="C12" s="12" t="s">
        <v>36</v>
      </c>
      <c r="D12" s="135" t="s">
        <v>220</v>
      </c>
      <c r="E12" s="136"/>
      <c r="F12" s="18" t="s">
        <v>5</v>
      </c>
      <c r="G12" s="18" t="s">
        <v>5</v>
      </c>
      <c r="H12" s="18" t="s">
        <v>5</v>
      </c>
      <c r="I12" s="46">
        <f>SUM(I13:I15)</f>
        <v>0</v>
      </c>
      <c r="J12" s="46">
        <f>SUM(J13:J15)</f>
        <v>0</v>
      </c>
      <c r="K12" s="46">
        <f>SUM(K13:K15)</f>
        <v>0</v>
      </c>
      <c r="L12" s="30"/>
      <c r="M12" s="46">
        <f>SUM(M13:M15)</f>
        <v>0.21555000000000002</v>
      </c>
      <c r="N12" s="34"/>
      <c r="O12" s="39"/>
      <c r="AI12" s="31"/>
      <c r="AS12" s="47">
        <f>SUM(AJ13:AJ15)</f>
        <v>0</v>
      </c>
      <c r="AT12" s="47">
        <f>SUM(AK13:AK15)</f>
        <v>0</v>
      </c>
      <c r="AU12" s="47">
        <f>SUM(AL13:AL15)</f>
        <v>0</v>
      </c>
    </row>
    <row r="13" spans="1:64" ht="12.75">
      <c r="A13" s="4" t="s">
        <v>6</v>
      </c>
      <c r="B13" s="13"/>
      <c r="C13" s="13" t="s">
        <v>105</v>
      </c>
      <c r="D13" s="137" t="s">
        <v>221</v>
      </c>
      <c r="E13" s="138"/>
      <c r="F13" s="13" t="s">
        <v>344</v>
      </c>
      <c r="G13" s="21">
        <v>4</v>
      </c>
      <c r="H13" s="21">
        <v>0</v>
      </c>
      <c r="I13" s="21">
        <f>G13*AO13</f>
        <v>0</v>
      </c>
      <c r="J13" s="21">
        <f>G13*AP13</f>
        <v>0</v>
      </c>
      <c r="K13" s="21">
        <f>G13*H13</f>
        <v>0</v>
      </c>
      <c r="L13" s="21">
        <v>0.00713</v>
      </c>
      <c r="M13" s="21">
        <f>G13*L13</f>
        <v>0.02852</v>
      </c>
      <c r="N13" s="35" t="s">
        <v>372</v>
      </c>
      <c r="O13" s="39"/>
      <c r="Z13" s="41">
        <f>IF(AQ13="5",BJ13,0)</f>
        <v>0</v>
      </c>
      <c r="AB13" s="41">
        <f>IF(AQ13="1",BH13,0)</f>
        <v>0</v>
      </c>
      <c r="AC13" s="41">
        <f>IF(AQ13="1",BI13,0)</f>
        <v>0</v>
      </c>
      <c r="AD13" s="41">
        <f>IF(AQ13="7",BH13,0)</f>
        <v>0</v>
      </c>
      <c r="AE13" s="41">
        <f>IF(AQ13="7",BI13,0)</f>
        <v>0</v>
      </c>
      <c r="AF13" s="41">
        <f>IF(AQ13="2",BH13,0)</f>
        <v>0</v>
      </c>
      <c r="AG13" s="41">
        <f>IF(AQ13="2",BI13,0)</f>
        <v>0</v>
      </c>
      <c r="AH13" s="41">
        <f>IF(AQ13="0",BJ13,0)</f>
        <v>0</v>
      </c>
      <c r="AI13" s="31"/>
      <c r="AJ13" s="21">
        <f>IF(AN13=0,K13,0)</f>
        <v>0</v>
      </c>
      <c r="AK13" s="21">
        <f>IF(AN13=15,K13,0)</f>
        <v>0</v>
      </c>
      <c r="AL13" s="21">
        <f>IF(AN13=21,K13,0)</f>
        <v>0</v>
      </c>
      <c r="AN13" s="41">
        <v>15</v>
      </c>
      <c r="AO13" s="41">
        <f>H13*0.0544228962926128</f>
        <v>0</v>
      </c>
      <c r="AP13" s="41">
        <f>H13*(1-0.0544228962926128)</f>
        <v>0</v>
      </c>
      <c r="AQ13" s="42" t="s">
        <v>6</v>
      </c>
      <c r="AV13" s="41">
        <f>AW13+AX13</f>
        <v>0</v>
      </c>
      <c r="AW13" s="41">
        <f>G13*AO13</f>
        <v>0</v>
      </c>
      <c r="AX13" s="41">
        <f>G13*AP13</f>
        <v>0</v>
      </c>
      <c r="AY13" s="44" t="s">
        <v>384</v>
      </c>
      <c r="AZ13" s="44" t="s">
        <v>407</v>
      </c>
      <c r="BA13" s="31" t="s">
        <v>416</v>
      </c>
      <c r="BC13" s="41">
        <f>AW13+AX13</f>
        <v>0</v>
      </c>
      <c r="BD13" s="41">
        <f>H13/(100-BE13)*100</f>
        <v>0</v>
      </c>
      <c r="BE13" s="41">
        <v>0</v>
      </c>
      <c r="BF13" s="41">
        <f>M13</f>
        <v>0.02852</v>
      </c>
      <c r="BH13" s="21">
        <f>G13*AO13</f>
        <v>0</v>
      </c>
      <c r="BI13" s="21">
        <f>G13*AP13</f>
        <v>0</v>
      </c>
      <c r="BJ13" s="21">
        <f>G13*H13</f>
        <v>0</v>
      </c>
      <c r="BK13" s="21" t="s">
        <v>421</v>
      </c>
      <c r="BL13" s="41">
        <v>31</v>
      </c>
    </row>
    <row r="14" spans="1:64" ht="12.75">
      <c r="A14" s="4" t="s">
        <v>7</v>
      </c>
      <c r="B14" s="13"/>
      <c r="C14" s="13" t="s">
        <v>106</v>
      </c>
      <c r="D14" s="137" t="s">
        <v>222</v>
      </c>
      <c r="E14" s="138"/>
      <c r="F14" s="13" t="s">
        <v>344</v>
      </c>
      <c r="G14" s="21">
        <v>2</v>
      </c>
      <c r="H14" s="21">
        <v>0</v>
      </c>
      <c r="I14" s="21">
        <f>G14*AO14</f>
        <v>0</v>
      </c>
      <c r="J14" s="21">
        <f>G14*AP14</f>
        <v>0</v>
      </c>
      <c r="K14" s="21">
        <f>G14*H14</f>
        <v>0</v>
      </c>
      <c r="L14" s="21">
        <v>0.0095</v>
      </c>
      <c r="M14" s="21">
        <f>G14*L14</f>
        <v>0.019</v>
      </c>
      <c r="N14" s="35" t="s">
        <v>372</v>
      </c>
      <c r="O14" s="39"/>
      <c r="Z14" s="41">
        <f>IF(AQ14="5",BJ14,0)</f>
        <v>0</v>
      </c>
      <c r="AB14" s="41">
        <f>IF(AQ14="1",BH14,0)</f>
        <v>0</v>
      </c>
      <c r="AC14" s="41">
        <f>IF(AQ14="1",BI14,0)</f>
        <v>0</v>
      </c>
      <c r="AD14" s="41">
        <f>IF(AQ14="7",BH14,0)</f>
        <v>0</v>
      </c>
      <c r="AE14" s="41">
        <f>IF(AQ14="7",BI14,0)</f>
        <v>0</v>
      </c>
      <c r="AF14" s="41">
        <f>IF(AQ14="2",BH14,0)</f>
        <v>0</v>
      </c>
      <c r="AG14" s="41">
        <f>IF(AQ14="2",BI14,0)</f>
        <v>0</v>
      </c>
      <c r="AH14" s="41">
        <f>IF(AQ14="0",BJ14,0)</f>
        <v>0</v>
      </c>
      <c r="AI14" s="31"/>
      <c r="AJ14" s="21">
        <f>IF(AN14=0,K14,0)</f>
        <v>0</v>
      </c>
      <c r="AK14" s="21">
        <f>IF(AN14=15,K14,0)</f>
        <v>0</v>
      </c>
      <c r="AL14" s="21">
        <f>IF(AN14=21,K14,0)</f>
        <v>0</v>
      </c>
      <c r="AN14" s="41">
        <v>15</v>
      </c>
      <c r="AO14" s="41">
        <f>H14*0.0579275023179831</f>
        <v>0</v>
      </c>
      <c r="AP14" s="41">
        <f>H14*(1-0.0579275023179831)</f>
        <v>0</v>
      </c>
      <c r="AQ14" s="42" t="s">
        <v>6</v>
      </c>
      <c r="AV14" s="41">
        <f>AW14+AX14</f>
        <v>0</v>
      </c>
      <c r="AW14" s="41">
        <f>G14*AO14</f>
        <v>0</v>
      </c>
      <c r="AX14" s="41">
        <f>G14*AP14</f>
        <v>0</v>
      </c>
      <c r="AY14" s="44" t="s">
        <v>384</v>
      </c>
      <c r="AZ14" s="44" t="s">
        <v>407</v>
      </c>
      <c r="BA14" s="31" t="s">
        <v>416</v>
      </c>
      <c r="BC14" s="41">
        <f>AW14+AX14</f>
        <v>0</v>
      </c>
      <c r="BD14" s="41">
        <f>H14/(100-BE14)*100</f>
        <v>0</v>
      </c>
      <c r="BE14" s="41">
        <v>0</v>
      </c>
      <c r="BF14" s="41">
        <f>M14</f>
        <v>0.019</v>
      </c>
      <c r="BH14" s="21">
        <f>G14*AO14</f>
        <v>0</v>
      </c>
      <c r="BI14" s="21">
        <f>G14*AP14</f>
        <v>0</v>
      </c>
      <c r="BJ14" s="21">
        <f>G14*H14</f>
        <v>0</v>
      </c>
      <c r="BK14" s="21" t="s">
        <v>421</v>
      </c>
      <c r="BL14" s="41">
        <v>31</v>
      </c>
    </row>
    <row r="15" spans="1:64" ht="12.75">
      <c r="A15" s="4" t="s">
        <v>8</v>
      </c>
      <c r="B15" s="13"/>
      <c r="C15" s="13" t="s">
        <v>107</v>
      </c>
      <c r="D15" s="137" t="s">
        <v>223</v>
      </c>
      <c r="E15" s="138"/>
      <c r="F15" s="13" t="s">
        <v>344</v>
      </c>
      <c r="G15" s="21">
        <v>1</v>
      </c>
      <c r="H15" s="21">
        <v>0</v>
      </c>
      <c r="I15" s="21">
        <f>G15*AO15</f>
        <v>0</v>
      </c>
      <c r="J15" s="21">
        <f>G15*AP15</f>
        <v>0</v>
      </c>
      <c r="K15" s="21">
        <f>G15*H15</f>
        <v>0</v>
      </c>
      <c r="L15" s="21">
        <v>0.16803</v>
      </c>
      <c r="M15" s="21">
        <f>G15*L15</f>
        <v>0.16803</v>
      </c>
      <c r="N15" s="35" t="s">
        <v>372</v>
      </c>
      <c r="O15" s="39"/>
      <c r="Z15" s="41">
        <f>IF(AQ15="5",BJ15,0)</f>
        <v>0</v>
      </c>
      <c r="AB15" s="41">
        <f>IF(AQ15="1",BH15,0)</f>
        <v>0</v>
      </c>
      <c r="AC15" s="41">
        <f>IF(AQ15="1",BI15,0)</f>
        <v>0</v>
      </c>
      <c r="AD15" s="41">
        <f>IF(AQ15="7",BH15,0)</f>
        <v>0</v>
      </c>
      <c r="AE15" s="41">
        <f>IF(AQ15="7",BI15,0)</f>
        <v>0</v>
      </c>
      <c r="AF15" s="41">
        <f>IF(AQ15="2",BH15,0)</f>
        <v>0</v>
      </c>
      <c r="AG15" s="41">
        <f>IF(AQ15="2",BI15,0)</f>
        <v>0</v>
      </c>
      <c r="AH15" s="41">
        <f>IF(AQ15="0",BJ15,0)</f>
        <v>0</v>
      </c>
      <c r="AI15" s="31"/>
      <c r="AJ15" s="21">
        <f>IF(AN15=0,K15,0)</f>
        <v>0</v>
      </c>
      <c r="AK15" s="21">
        <f>IF(AN15=15,K15,0)</f>
        <v>0</v>
      </c>
      <c r="AL15" s="21">
        <f>IF(AN15=21,K15,0)</f>
        <v>0</v>
      </c>
      <c r="AN15" s="41">
        <v>15</v>
      </c>
      <c r="AO15" s="41">
        <f>H15*0.56802729528536</f>
        <v>0</v>
      </c>
      <c r="AP15" s="41">
        <f>H15*(1-0.56802729528536)</f>
        <v>0</v>
      </c>
      <c r="AQ15" s="42" t="s">
        <v>6</v>
      </c>
      <c r="AV15" s="41">
        <f>AW15+AX15</f>
        <v>0</v>
      </c>
      <c r="AW15" s="41">
        <f>G15*AO15</f>
        <v>0</v>
      </c>
      <c r="AX15" s="41">
        <f>G15*AP15</f>
        <v>0</v>
      </c>
      <c r="AY15" s="44" t="s">
        <v>384</v>
      </c>
      <c r="AZ15" s="44" t="s">
        <v>407</v>
      </c>
      <c r="BA15" s="31" t="s">
        <v>416</v>
      </c>
      <c r="BC15" s="41">
        <f>AW15+AX15</f>
        <v>0</v>
      </c>
      <c r="BD15" s="41">
        <f>H15/(100-BE15)*100</f>
        <v>0</v>
      </c>
      <c r="BE15" s="41">
        <v>0</v>
      </c>
      <c r="BF15" s="41">
        <f>M15</f>
        <v>0.16803</v>
      </c>
      <c r="BH15" s="21">
        <f>G15*AO15</f>
        <v>0</v>
      </c>
      <c r="BI15" s="21">
        <f>G15*AP15</f>
        <v>0</v>
      </c>
      <c r="BJ15" s="21">
        <f>G15*H15</f>
        <v>0</v>
      </c>
      <c r="BK15" s="21" t="s">
        <v>421</v>
      </c>
      <c r="BL15" s="41">
        <v>31</v>
      </c>
    </row>
    <row r="16" spans="1:47" ht="12.75">
      <c r="A16" s="5"/>
      <c r="B16" s="14"/>
      <c r="C16" s="14" t="s">
        <v>39</v>
      </c>
      <c r="D16" s="139" t="s">
        <v>224</v>
      </c>
      <c r="E16" s="140"/>
      <c r="F16" s="19" t="s">
        <v>5</v>
      </c>
      <c r="G16" s="19" t="s">
        <v>5</v>
      </c>
      <c r="H16" s="19" t="s">
        <v>5</v>
      </c>
      <c r="I16" s="47">
        <f>SUM(I17:I19)</f>
        <v>0</v>
      </c>
      <c r="J16" s="47">
        <f>SUM(J17:J19)</f>
        <v>0</v>
      </c>
      <c r="K16" s="47">
        <f>SUM(K17:K19)</f>
        <v>0</v>
      </c>
      <c r="L16" s="31"/>
      <c r="M16" s="47">
        <f>SUM(M17:M19)</f>
        <v>3.039479</v>
      </c>
      <c r="N16" s="36"/>
      <c r="O16" s="39"/>
      <c r="AI16" s="31"/>
      <c r="AS16" s="47">
        <f>SUM(AJ17:AJ19)</f>
        <v>0</v>
      </c>
      <c r="AT16" s="47">
        <f>SUM(AK17:AK19)</f>
        <v>0</v>
      </c>
      <c r="AU16" s="47">
        <f>SUM(AL17:AL19)</f>
        <v>0</v>
      </c>
    </row>
    <row r="17" spans="1:64" ht="12.75">
      <c r="A17" s="4" t="s">
        <v>9</v>
      </c>
      <c r="B17" s="13"/>
      <c r="C17" s="13" t="s">
        <v>108</v>
      </c>
      <c r="D17" s="137" t="s">
        <v>225</v>
      </c>
      <c r="E17" s="138"/>
      <c r="F17" s="13" t="s">
        <v>345</v>
      </c>
      <c r="G17" s="21">
        <v>28.41</v>
      </c>
      <c r="H17" s="21">
        <v>0</v>
      </c>
      <c r="I17" s="21">
        <f>G17*AO17</f>
        <v>0</v>
      </c>
      <c r="J17" s="21">
        <f>G17*AP17</f>
        <v>0</v>
      </c>
      <c r="K17" s="21">
        <f>G17*H17</f>
        <v>0</v>
      </c>
      <c r="L17" s="21">
        <v>0.09135</v>
      </c>
      <c r="M17" s="21">
        <f>G17*L17</f>
        <v>2.5952535</v>
      </c>
      <c r="N17" s="35" t="s">
        <v>372</v>
      </c>
      <c r="O17" s="39"/>
      <c r="Z17" s="41">
        <f>IF(AQ17="5",BJ17,0)</f>
        <v>0</v>
      </c>
      <c r="AB17" s="41">
        <f>IF(AQ17="1",BH17,0)</f>
        <v>0</v>
      </c>
      <c r="AC17" s="41">
        <f>IF(AQ17="1",BI17,0)</f>
        <v>0</v>
      </c>
      <c r="AD17" s="41">
        <f>IF(AQ17="7",BH17,0)</f>
        <v>0</v>
      </c>
      <c r="AE17" s="41">
        <f>IF(AQ17="7",BI17,0)</f>
        <v>0</v>
      </c>
      <c r="AF17" s="41">
        <f>IF(AQ17="2",BH17,0)</f>
        <v>0</v>
      </c>
      <c r="AG17" s="41">
        <f>IF(AQ17="2",BI17,0)</f>
        <v>0</v>
      </c>
      <c r="AH17" s="41">
        <f>IF(AQ17="0",BJ17,0)</f>
        <v>0</v>
      </c>
      <c r="AI17" s="31"/>
      <c r="AJ17" s="21">
        <f>IF(AN17=0,K17,0)</f>
        <v>0</v>
      </c>
      <c r="AK17" s="21">
        <f>IF(AN17=15,K17,0)</f>
        <v>0</v>
      </c>
      <c r="AL17" s="21">
        <f>IF(AN17=21,K17,0)</f>
        <v>0</v>
      </c>
      <c r="AN17" s="41">
        <v>15</v>
      </c>
      <c r="AO17" s="41">
        <f>H17*0.56812030075188</f>
        <v>0</v>
      </c>
      <c r="AP17" s="41">
        <f>H17*(1-0.56812030075188)</f>
        <v>0</v>
      </c>
      <c r="AQ17" s="42" t="s">
        <v>6</v>
      </c>
      <c r="AV17" s="41">
        <f>AW17+AX17</f>
        <v>0</v>
      </c>
      <c r="AW17" s="41">
        <f>G17*AO17</f>
        <v>0</v>
      </c>
      <c r="AX17" s="41">
        <f>G17*AP17</f>
        <v>0</v>
      </c>
      <c r="AY17" s="44" t="s">
        <v>385</v>
      </c>
      <c r="AZ17" s="44" t="s">
        <v>407</v>
      </c>
      <c r="BA17" s="31" t="s">
        <v>416</v>
      </c>
      <c r="BC17" s="41">
        <f>AW17+AX17</f>
        <v>0</v>
      </c>
      <c r="BD17" s="41">
        <f>H17/(100-BE17)*100</f>
        <v>0</v>
      </c>
      <c r="BE17" s="41">
        <v>0</v>
      </c>
      <c r="BF17" s="41">
        <f>M17</f>
        <v>2.5952535</v>
      </c>
      <c r="BH17" s="21">
        <f>G17*AO17</f>
        <v>0</v>
      </c>
      <c r="BI17" s="21">
        <f>G17*AP17</f>
        <v>0</v>
      </c>
      <c r="BJ17" s="21">
        <f>G17*H17</f>
        <v>0</v>
      </c>
      <c r="BK17" s="21" t="s">
        <v>421</v>
      </c>
      <c r="BL17" s="41">
        <v>34</v>
      </c>
    </row>
    <row r="18" spans="1:64" ht="12.75">
      <c r="A18" s="4" t="s">
        <v>10</v>
      </c>
      <c r="B18" s="13"/>
      <c r="C18" s="13" t="s">
        <v>109</v>
      </c>
      <c r="D18" s="137" t="s">
        <v>226</v>
      </c>
      <c r="E18" s="138"/>
      <c r="F18" s="13" t="s">
        <v>345</v>
      </c>
      <c r="G18" s="21">
        <v>2.81</v>
      </c>
      <c r="H18" s="21">
        <v>0</v>
      </c>
      <c r="I18" s="21">
        <f>G18*AO18</f>
        <v>0</v>
      </c>
      <c r="J18" s="21">
        <f>G18*AP18</f>
        <v>0</v>
      </c>
      <c r="K18" s="21">
        <f>G18*H18</f>
        <v>0</v>
      </c>
      <c r="L18" s="21">
        <v>0.06943</v>
      </c>
      <c r="M18" s="21">
        <f>G18*L18</f>
        <v>0.19509830000000003</v>
      </c>
      <c r="N18" s="35" t="s">
        <v>372</v>
      </c>
      <c r="O18" s="39"/>
      <c r="Z18" s="41">
        <f>IF(AQ18="5",BJ18,0)</f>
        <v>0</v>
      </c>
      <c r="AB18" s="41">
        <f>IF(AQ18="1",BH18,0)</f>
        <v>0</v>
      </c>
      <c r="AC18" s="41">
        <f>IF(AQ18="1",BI18,0)</f>
        <v>0</v>
      </c>
      <c r="AD18" s="41">
        <f>IF(AQ18="7",BH18,0)</f>
        <v>0</v>
      </c>
      <c r="AE18" s="41">
        <f>IF(AQ18="7",BI18,0)</f>
        <v>0</v>
      </c>
      <c r="AF18" s="41">
        <f>IF(AQ18="2",BH18,0)</f>
        <v>0</v>
      </c>
      <c r="AG18" s="41">
        <f>IF(AQ18="2",BI18,0)</f>
        <v>0</v>
      </c>
      <c r="AH18" s="41">
        <f>IF(AQ18="0",BJ18,0)</f>
        <v>0</v>
      </c>
      <c r="AI18" s="31"/>
      <c r="AJ18" s="21">
        <f>IF(AN18=0,K18,0)</f>
        <v>0</v>
      </c>
      <c r="AK18" s="21">
        <f>IF(AN18=15,K18,0)</f>
        <v>0</v>
      </c>
      <c r="AL18" s="21">
        <f>IF(AN18=21,K18,0)</f>
        <v>0</v>
      </c>
      <c r="AN18" s="41">
        <v>15</v>
      </c>
      <c r="AO18" s="41">
        <f>H18*0.513361344537815</f>
        <v>0</v>
      </c>
      <c r="AP18" s="41">
        <f>H18*(1-0.513361344537815)</f>
        <v>0</v>
      </c>
      <c r="AQ18" s="42" t="s">
        <v>6</v>
      </c>
      <c r="AV18" s="41">
        <f>AW18+AX18</f>
        <v>0</v>
      </c>
      <c r="AW18" s="41">
        <f>G18*AO18</f>
        <v>0</v>
      </c>
      <c r="AX18" s="41">
        <f>G18*AP18</f>
        <v>0</v>
      </c>
      <c r="AY18" s="44" t="s">
        <v>385</v>
      </c>
      <c r="AZ18" s="44" t="s">
        <v>407</v>
      </c>
      <c r="BA18" s="31" t="s">
        <v>416</v>
      </c>
      <c r="BC18" s="41">
        <f>AW18+AX18</f>
        <v>0</v>
      </c>
      <c r="BD18" s="41">
        <f>H18/(100-BE18)*100</f>
        <v>0</v>
      </c>
      <c r="BE18" s="41">
        <v>0</v>
      </c>
      <c r="BF18" s="41">
        <f>M18</f>
        <v>0.19509830000000003</v>
      </c>
      <c r="BH18" s="21">
        <f>G18*AO18</f>
        <v>0</v>
      </c>
      <c r="BI18" s="21">
        <f>G18*AP18</f>
        <v>0</v>
      </c>
      <c r="BJ18" s="21">
        <f>G18*H18</f>
        <v>0</v>
      </c>
      <c r="BK18" s="21" t="s">
        <v>421</v>
      </c>
      <c r="BL18" s="41">
        <v>34</v>
      </c>
    </row>
    <row r="19" spans="1:64" ht="12.75">
      <c r="A19" s="4" t="s">
        <v>11</v>
      </c>
      <c r="B19" s="13"/>
      <c r="C19" s="13" t="s">
        <v>110</v>
      </c>
      <c r="D19" s="137" t="s">
        <v>227</v>
      </c>
      <c r="E19" s="138"/>
      <c r="F19" s="13" t="s">
        <v>345</v>
      </c>
      <c r="G19" s="21">
        <v>1.68</v>
      </c>
      <c r="H19" s="21">
        <v>0</v>
      </c>
      <c r="I19" s="21">
        <f>G19*AO19</f>
        <v>0</v>
      </c>
      <c r="J19" s="21">
        <f>G19*AP19</f>
        <v>0</v>
      </c>
      <c r="K19" s="21">
        <f>G19*H19</f>
        <v>0</v>
      </c>
      <c r="L19" s="21">
        <v>0.14829</v>
      </c>
      <c r="M19" s="21">
        <f>G19*L19</f>
        <v>0.2491272</v>
      </c>
      <c r="N19" s="35" t="s">
        <v>372</v>
      </c>
      <c r="O19" s="39"/>
      <c r="Z19" s="41">
        <f>IF(AQ19="5",BJ19,0)</f>
        <v>0</v>
      </c>
      <c r="AB19" s="41">
        <f>IF(AQ19="1",BH19,0)</f>
        <v>0</v>
      </c>
      <c r="AC19" s="41">
        <f>IF(AQ19="1",BI19,0)</f>
        <v>0</v>
      </c>
      <c r="AD19" s="41">
        <f>IF(AQ19="7",BH19,0)</f>
        <v>0</v>
      </c>
      <c r="AE19" s="41">
        <f>IF(AQ19="7",BI19,0)</f>
        <v>0</v>
      </c>
      <c r="AF19" s="41">
        <f>IF(AQ19="2",BH19,0)</f>
        <v>0</v>
      </c>
      <c r="AG19" s="41">
        <f>IF(AQ19="2",BI19,0)</f>
        <v>0</v>
      </c>
      <c r="AH19" s="41">
        <f>IF(AQ19="0",BJ19,0)</f>
        <v>0</v>
      </c>
      <c r="AI19" s="31"/>
      <c r="AJ19" s="21">
        <f>IF(AN19=0,K19,0)</f>
        <v>0</v>
      </c>
      <c r="AK19" s="21">
        <f>IF(AN19=15,K19,0)</f>
        <v>0</v>
      </c>
      <c r="AL19" s="21">
        <f>IF(AN19=21,K19,0)</f>
        <v>0</v>
      </c>
      <c r="AN19" s="41">
        <v>15</v>
      </c>
      <c r="AO19" s="41">
        <f>H19*0.699112903225806</f>
        <v>0</v>
      </c>
      <c r="AP19" s="41">
        <f>H19*(1-0.699112903225806)</f>
        <v>0</v>
      </c>
      <c r="AQ19" s="42" t="s">
        <v>6</v>
      </c>
      <c r="AV19" s="41">
        <f>AW19+AX19</f>
        <v>0</v>
      </c>
      <c r="AW19" s="41">
        <f>G19*AO19</f>
        <v>0</v>
      </c>
      <c r="AX19" s="41">
        <f>G19*AP19</f>
        <v>0</v>
      </c>
      <c r="AY19" s="44" t="s">
        <v>385</v>
      </c>
      <c r="AZ19" s="44" t="s">
        <v>407</v>
      </c>
      <c r="BA19" s="31" t="s">
        <v>416</v>
      </c>
      <c r="BC19" s="41">
        <f>AW19+AX19</f>
        <v>0</v>
      </c>
      <c r="BD19" s="41">
        <f>H19/(100-BE19)*100</f>
        <v>0</v>
      </c>
      <c r="BE19" s="41">
        <v>0</v>
      </c>
      <c r="BF19" s="41">
        <f>M19</f>
        <v>0.2491272</v>
      </c>
      <c r="BH19" s="21">
        <f>G19*AO19</f>
        <v>0</v>
      </c>
      <c r="BI19" s="21">
        <f>G19*AP19</f>
        <v>0</v>
      </c>
      <c r="BJ19" s="21">
        <f>G19*H19</f>
        <v>0</v>
      </c>
      <c r="BK19" s="21" t="s">
        <v>421</v>
      </c>
      <c r="BL19" s="41">
        <v>34</v>
      </c>
    </row>
    <row r="20" spans="1:47" ht="12.75">
      <c r="A20" s="5"/>
      <c r="B20" s="14"/>
      <c r="C20" s="14" t="s">
        <v>46</v>
      </c>
      <c r="D20" s="139" t="s">
        <v>228</v>
      </c>
      <c r="E20" s="140"/>
      <c r="F20" s="19" t="s">
        <v>5</v>
      </c>
      <c r="G20" s="19" t="s">
        <v>5</v>
      </c>
      <c r="H20" s="19" t="s">
        <v>5</v>
      </c>
      <c r="I20" s="47">
        <f>SUM(I21:I22)</f>
        <v>0</v>
      </c>
      <c r="J20" s="47">
        <f>SUM(J21:J22)</f>
        <v>0</v>
      </c>
      <c r="K20" s="47">
        <f>SUM(K21:K22)</f>
        <v>0</v>
      </c>
      <c r="L20" s="31"/>
      <c r="M20" s="47">
        <f>SUM(M21:M22)</f>
        <v>0.0827904</v>
      </c>
      <c r="N20" s="36"/>
      <c r="O20" s="39"/>
      <c r="AI20" s="31"/>
      <c r="AS20" s="47">
        <f>SUM(AJ21:AJ22)</f>
        <v>0</v>
      </c>
      <c r="AT20" s="47">
        <f>SUM(AK21:AK22)</f>
        <v>0</v>
      </c>
      <c r="AU20" s="47">
        <f>SUM(AL21:AL22)</f>
        <v>0</v>
      </c>
    </row>
    <row r="21" spans="1:64" ht="12.75">
      <c r="A21" s="4" t="s">
        <v>12</v>
      </c>
      <c r="B21" s="13"/>
      <c r="C21" s="13" t="s">
        <v>111</v>
      </c>
      <c r="D21" s="137" t="s">
        <v>229</v>
      </c>
      <c r="E21" s="138"/>
      <c r="F21" s="13" t="s">
        <v>345</v>
      </c>
      <c r="G21" s="21">
        <v>1.92</v>
      </c>
      <c r="H21" s="21">
        <v>0</v>
      </c>
      <c r="I21" s="21">
        <f>G21*AO21</f>
        <v>0</v>
      </c>
      <c r="J21" s="21">
        <f>G21*AP21</f>
        <v>0</v>
      </c>
      <c r="K21" s="21">
        <f>G21*H21</f>
        <v>0</v>
      </c>
      <c r="L21" s="21">
        <v>0.02511</v>
      </c>
      <c r="M21" s="21">
        <f>G21*L21</f>
        <v>0.048211199999999996</v>
      </c>
      <c r="N21" s="35" t="s">
        <v>372</v>
      </c>
      <c r="O21" s="39"/>
      <c r="Z21" s="41">
        <f>IF(AQ21="5",BJ21,0)</f>
        <v>0</v>
      </c>
      <c r="AB21" s="41">
        <f>IF(AQ21="1",BH21,0)</f>
        <v>0</v>
      </c>
      <c r="AC21" s="41">
        <f>IF(AQ21="1",BI21,0)</f>
        <v>0</v>
      </c>
      <c r="AD21" s="41">
        <f>IF(AQ21="7",BH21,0)</f>
        <v>0</v>
      </c>
      <c r="AE21" s="41">
        <f>IF(AQ21="7",BI21,0)</f>
        <v>0</v>
      </c>
      <c r="AF21" s="41">
        <f>IF(AQ21="2",BH21,0)</f>
        <v>0</v>
      </c>
      <c r="AG21" s="41">
        <f>IF(AQ21="2",BI21,0)</f>
        <v>0</v>
      </c>
      <c r="AH21" s="41">
        <f>IF(AQ21="0",BJ21,0)</f>
        <v>0</v>
      </c>
      <c r="AI21" s="31"/>
      <c r="AJ21" s="21">
        <f>IF(AN21=0,K21,0)</f>
        <v>0</v>
      </c>
      <c r="AK21" s="21">
        <f>IF(AN21=15,K21,0)</f>
        <v>0</v>
      </c>
      <c r="AL21" s="21">
        <f>IF(AN21=21,K21,0)</f>
        <v>0</v>
      </c>
      <c r="AN21" s="41">
        <v>15</v>
      </c>
      <c r="AO21" s="41">
        <f>H21*0.428240740740741</f>
        <v>0</v>
      </c>
      <c r="AP21" s="41">
        <f>H21*(1-0.428240740740741)</f>
        <v>0</v>
      </c>
      <c r="AQ21" s="42" t="s">
        <v>6</v>
      </c>
      <c r="AV21" s="41">
        <f>AW21+AX21</f>
        <v>0</v>
      </c>
      <c r="AW21" s="41">
        <f>G21*AO21</f>
        <v>0</v>
      </c>
      <c r="AX21" s="41">
        <f>G21*AP21</f>
        <v>0</v>
      </c>
      <c r="AY21" s="44" t="s">
        <v>386</v>
      </c>
      <c r="AZ21" s="44" t="s">
        <v>408</v>
      </c>
      <c r="BA21" s="31" t="s">
        <v>416</v>
      </c>
      <c r="BC21" s="41">
        <f>AW21+AX21</f>
        <v>0</v>
      </c>
      <c r="BD21" s="41">
        <f>H21/(100-BE21)*100</f>
        <v>0</v>
      </c>
      <c r="BE21" s="41">
        <v>0</v>
      </c>
      <c r="BF21" s="41">
        <f>M21</f>
        <v>0.048211199999999996</v>
      </c>
      <c r="BH21" s="21">
        <f>G21*AO21</f>
        <v>0</v>
      </c>
      <c r="BI21" s="21">
        <f>G21*AP21</f>
        <v>0</v>
      </c>
      <c r="BJ21" s="21">
        <f>G21*H21</f>
        <v>0</v>
      </c>
      <c r="BK21" s="21" t="s">
        <v>421</v>
      </c>
      <c r="BL21" s="41">
        <v>41</v>
      </c>
    </row>
    <row r="22" spans="1:64" ht="12.75">
      <c r="A22" s="4" t="s">
        <v>13</v>
      </c>
      <c r="B22" s="13"/>
      <c r="C22" s="13" t="s">
        <v>112</v>
      </c>
      <c r="D22" s="137" t="s">
        <v>230</v>
      </c>
      <c r="E22" s="138"/>
      <c r="F22" s="13" t="s">
        <v>345</v>
      </c>
      <c r="G22" s="21">
        <v>1.92</v>
      </c>
      <c r="H22" s="21">
        <v>0</v>
      </c>
      <c r="I22" s="21">
        <f>G22*AO22</f>
        <v>0</v>
      </c>
      <c r="J22" s="21">
        <f>G22*AP22</f>
        <v>0</v>
      </c>
      <c r="K22" s="21">
        <f>G22*H22</f>
        <v>0</v>
      </c>
      <c r="L22" s="21">
        <v>0.01801</v>
      </c>
      <c r="M22" s="21">
        <f>G22*L22</f>
        <v>0.034579200000000004</v>
      </c>
      <c r="N22" s="35" t="s">
        <v>372</v>
      </c>
      <c r="O22" s="39"/>
      <c r="Z22" s="41">
        <f>IF(AQ22="5",BJ22,0)</f>
        <v>0</v>
      </c>
      <c r="AB22" s="41">
        <f>IF(AQ22="1",BH22,0)</f>
        <v>0</v>
      </c>
      <c r="AC22" s="41">
        <f>IF(AQ22="1",BI22,0)</f>
        <v>0</v>
      </c>
      <c r="AD22" s="41">
        <f>IF(AQ22="7",BH22,0)</f>
        <v>0</v>
      </c>
      <c r="AE22" s="41">
        <f>IF(AQ22="7",BI22,0)</f>
        <v>0</v>
      </c>
      <c r="AF22" s="41">
        <f>IF(AQ22="2",BH22,0)</f>
        <v>0</v>
      </c>
      <c r="AG22" s="41">
        <f>IF(AQ22="2",BI22,0)</f>
        <v>0</v>
      </c>
      <c r="AH22" s="41">
        <f>IF(AQ22="0",BJ22,0)</f>
        <v>0</v>
      </c>
      <c r="AI22" s="31"/>
      <c r="AJ22" s="21">
        <f>IF(AN22=0,K22,0)</f>
        <v>0</v>
      </c>
      <c r="AK22" s="21">
        <f>IF(AN22=15,K22,0)</f>
        <v>0</v>
      </c>
      <c r="AL22" s="21">
        <f>IF(AN22=21,K22,0)</f>
        <v>0</v>
      </c>
      <c r="AN22" s="41">
        <v>15</v>
      </c>
      <c r="AO22" s="41">
        <f>H22*0.578412931667891</f>
        <v>0</v>
      </c>
      <c r="AP22" s="41">
        <f>H22*(1-0.578412931667891)</f>
        <v>0</v>
      </c>
      <c r="AQ22" s="42" t="s">
        <v>6</v>
      </c>
      <c r="AV22" s="41">
        <f>AW22+AX22</f>
        <v>0</v>
      </c>
      <c r="AW22" s="41">
        <f>G22*AO22</f>
        <v>0</v>
      </c>
      <c r="AX22" s="41">
        <f>G22*AP22</f>
        <v>0</v>
      </c>
      <c r="AY22" s="44" t="s">
        <v>386</v>
      </c>
      <c r="AZ22" s="44" t="s">
        <v>408</v>
      </c>
      <c r="BA22" s="31" t="s">
        <v>416</v>
      </c>
      <c r="BC22" s="41">
        <f>AW22+AX22</f>
        <v>0</v>
      </c>
      <c r="BD22" s="41">
        <f>H22/(100-BE22)*100</f>
        <v>0</v>
      </c>
      <c r="BE22" s="41">
        <v>0</v>
      </c>
      <c r="BF22" s="41">
        <f>M22</f>
        <v>0.034579200000000004</v>
      </c>
      <c r="BH22" s="21">
        <f>G22*AO22</f>
        <v>0</v>
      </c>
      <c r="BI22" s="21">
        <f>G22*AP22</f>
        <v>0</v>
      </c>
      <c r="BJ22" s="21">
        <f>G22*H22</f>
        <v>0</v>
      </c>
      <c r="BK22" s="21" t="s">
        <v>421</v>
      </c>
      <c r="BL22" s="41">
        <v>41</v>
      </c>
    </row>
    <row r="23" spans="1:47" ht="12.75">
      <c r="A23" s="5"/>
      <c r="B23" s="14"/>
      <c r="C23" s="14" t="s">
        <v>66</v>
      </c>
      <c r="D23" s="139" t="s">
        <v>231</v>
      </c>
      <c r="E23" s="140"/>
      <c r="F23" s="19" t="s">
        <v>5</v>
      </c>
      <c r="G23" s="19" t="s">
        <v>5</v>
      </c>
      <c r="H23" s="19" t="s">
        <v>5</v>
      </c>
      <c r="I23" s="47">
        <f>SUM(I24:I27)</f>
        <v>0</v>
      </c>
      <c r="J23" s="47">
        <f>SUM(J24:J27)</f>
        <v>0</v>
      </c>
      <c r="K23" s="47">
        <f>SUM(K24:K27)</f>
        <v>0</v>
      </c>
      <c r="L23" s="31"/>
      <c r="M23" s="47">
        <f>SUM(M24:M27)</f>
        <v>2.290193</v>
      </c>
      <c r="N23" s="36"/>
      <c r="O23" s="39"/>
      <c r="AI23" s="31"/>
      <c r="AS23" s="47">
        <f>SUM(AJ24:AJ27)</f>
        <v>0</v>
      </c>
      <c r="AT23" s="47">
        <f>SUM(AK24:AK27)</f>
        <v>0</v>
      </c>
      <c r="AU23" s="47">
        <f>SUM(AL24:AL27)</f>
        <v>0</v>
      </c>
    </row>
    <row r="24" spans="1:64" ht="12.75">
      <c r="A24" s="4" t="s">
        <v>14</v>
      </c>
      <c r="B24" s="13"/>
      <c r="C24" s="13" t="s">
        <v>113</v>
      </c>
      <c r="D24" s="137" t="s">
        <v>232</v>
      </c>
      <c r="E24" s="138"/>
      <c r="F24" s="13" t="s">
        <v>345</v>
      </c>
      <c r="G24" s="21">
        <v>56.82</v>
      </c>
      <c r="H24" s="21">
        <v>0</v>
      </c>
      <c r="I24" s="21">
        <f>G24*AO24</f>
        <v>0</v>
      </c>
      <c r="J24" s="21">
        <f>G24*AP24</f>
        <v>0</v>
      </c>
      <c r="K24" s="21">
        <f>G24*H24</f>
        <v>0</v>
      </c>
      <c r="L24" s="21">
        <v>0.00367</v>
      </c>
      <c r="M24" s="21">
        <f>G24*L24</f>
        <v>0.2085294</v>
      </c>
      <c r="N24" s="35" t="s">
        <v>372</v>
      </c>
      <c r="O24" s="39"/>
      <c r="Z24" s="41">
        <f>IF(AQ24="5",BJ24,0)</f>
        <v>0</v>
      </c>
      <c r="AB24" s="41">
        <f>IF(AQ24="1",BH24,0)</f>
        <v>0</v>
      </c>
      <c r="AC24" s="41">
        <f>IF(AQ24="1",BI24,0)</f>
        <v>0</v>
      </c>
      <c r="AD24" s="41">
        <f>IF(AQ24="7",BH24,0)</f>
        <v>0</v>
      </c>
      <c r="AE24" s="41">
        <f>IF(AQ24="7",BI24,0)</f>
        <v>0</v>
      </c>
      <c r="AF24" s="41">
        <f>IF(AQ24="2",BH24,0)</f>
        <v>0</v>
      </c>
      <c r="AG24" s="41">
        <f>IF(AQ24="2",BI24,0)</f>
        <v>0</v>
      </c>
      <c r="AH24" s="41">
        <f>IF(AQ24="0",BJ24,0)</f>
        <v>0</v>
      </c>
      <c r="AI24" s="31"/>
      <c r="AJ24" s="21">
        <f>IF(AN24=0,K24,0)</f>
        <v>0</v>
      </c>
      <c r="AK24" s="21">
        <f>IF(AN24=15,K24,0)</f>
        <v>0</v>
      </c>
      <c r="AL24" s="21">
        <f>IF(AN24=21,K24,0)</f>
        <v>0</v>
      </c>
      <c r="AN24" s="41">
        <v>15</v>
      </c>
      <c r="AO24" s="41">
        <f>H24*0.27119373776908</f>
        <v>0</v>
      </c>
      <c r="AP24" s="41">
        <f>H24*(1-0.27119373776908)</f>
        <v>0</v>
      </c>
      <c r="AQ24" s="42" t="s">
        <v>6</v>
      </c>
      <c r="AV24" s="41">
        <f>AW24+AX24</f>
        <v>0</v>
      </c>
      <c r="AW24" s="41">
        <f>G24*AO24</f>
        <v>0</v>
      </c>
      <c r="AX24" s="41">
        <f>G24*AP24</f>
        <v>0</v>
      </c>
      <c r="AY24" s="44" t="s">
        <v>387</v>
      </c>
      <c r="AZ24" s="44" t="s">
        <v>409</v>
      </c>
      <c r="BA24" s="31" t="s">
        <v>416</v>
      </c>
      <c r="BC24" s="41">
        <f>AW24+AX24</f>
        <v>0</v>
      </c>
      <c r="BD24" s="41">
        <f>H24/(100-BE24)*100</f>
        <v>0</v>
      </c>
      <c r="BE24" s="41">
        <v>0</v>
      </c>
      <c r="BF24" s="41">
        <f>M24</f>
        <v>0.2085294</v>
      </c>
      <c r="BH24" s="21">
        <f>G24*AO24</f>
        <v>0</v>
      </c>
      <c r="BI24" s="21">
        <f>G24*AP24</f>
        <v>0</v>
      </c>
      <c r="BJ24" s="21">
        <f>G24*H24</f>
        <v>0</v>
      </c>
      <c r="BK24" s="21" t="s">
        <v>421</v>
      </c>
      <c r="BL24" s="41">
        <v>61</v>
      </c>
    </row>
    <row r="25" spans="1:64" ht="12.75">
      <c r="A25" s="4" t="s">
        <v>15</v>
      </c>
      <c r="B25" s="13"/>
      <c r="C25" s="13" t="s">
        <v>114</v>
      </c>
      <c r="D25" s="137" t="s">
        <v>233</v>
      </c>
      <c r="E25" s="138"/>
      <c r="F25" s="13" t="s">
        <v>345</v>
      </c>
      <c r="G25" s="21">
        <v>56.82</v>
      </c>
      <c r="H25" s="21">
        <v>0</v>
      </c>
      <c r="I25" s="21">
        <f>G25*AO25</f>
        <v>0</v>
      </c>
      <c r="J25" s="21">
        <f>G25*AP25</f>
        <v>0</v>
      </c>
      <c r="K25" s="21">
        <f>G25*H25</f>
        <v>0</v>
      </c>
      <c r="L25" s="21">
        <v>0.02798</v>
      </c>
      <c r="M25" s="21">
        <f>G25*L25</f>
        <v>1.5898236000000001</v>
      </c>
      <c r="N25" s="35" t="s">
        <v>372</v>
      </c>
      <c r="O25" s="39"/>
      <c r="Z25" s="41">
        <f>IF(AQ25="5",BJ25,0)</f>
        <v>0</v>
      </c>
      <c r="AB25" s="41">
        <f>IF(AQ25="1",BH25,0)</f>
        <v>0</v>
      </c>
      <c r="AC25" s="41">
        <f>IF(AQ25="1",BI25,0)</f>
        <v>0</v>
      </c>
      <c r="AD25" s="41">
        <f>IF(AQ25="7",BH25,0)</f>
        <v>0</v>
      </c>
      <c r="AE25" s="41">
        <f>IF(AQ25="7",BI25,0)</f>
        <v>0</v>
      </c>
      <c r="AF25" s="41">
        <f>IF(AQ25="2",BH25,0)</f>
        <v>0</v>
      </c>
      <c r="AG25" s="41">
        <f>IF(AQ25="2",BI25,0)</f>
        <v>0</v>
      </c>
      <c r="AH25" s="41">
        <f>IF(AQ25="0",BJ25,0)</f>
        <v>0</v>
      </c>
      <c r="AI25" s="31"/>
      <c r="AJ25" s="21">
        <f>IF(AN25=0,K25,0)</f>
        <v>0</v>
      </c>
      <c r="AK25" s="21">
        <f>IF(AN25=15,K25,0)</f>
        <v>0</v>
      </c>
      <c r="AL25" s="21">
        <f>IF(AN25=21,K25,0)</f>
        <v>0</v>
      </c>
      <c r="AN25" s="41">
        <v>15</v>
      </c>
      <c r="AO25" s="41">
        <f>H25*0.318960409658336</f>
        <v>0</v>
      </c>
      <c r="AP25" s="41">
        <f>H25*(1-0.318960409658336)</f>
        <v>0</v>
      </c>
      <c r="AQ25" s="42" t="s">
        <v>6</v>
      </c>
      <c r="AV25" s="41">
        <f>AW25+AX25</f>
        <v>0</v>
      </c>
      <c r="AW25" s="41">
        <f>G25*AO25</f>
        <v>0</v>
      </c>
      <c r="AX25" s="41">
        <f>G25*AP25</f>
        <v>0</v>
      </c>
      <c r="AY25" s="44" t="s">
        <v>387</v>
      </c>
      <c r="AZ25" s="44" t="s">
        <v>409</v>
      </c>
      <c r="BA25" s="31" t="s">
        <v>416</v>
      </c>
      <c r="BC25" s="41">
        <f>AW25+AX25</f>
        <v>0</v>
      </c>
      <c r="BD25" s="41">
        <f>H25/(100-BE25)*100</f>
        <v>0</v>
      </c>
      <c r="BE25" s="41">
        <v>0</v>
      </c>
      <c r="BF25" s="41">
        <f>M25</f>
        <v>1.5898236000000001</v>
      </c>
      <c r="BH25" s="21">
        <f>G25*AO25</f>
        <v>0</v>
      </c>
      <c r="BI25" s="21">
        <f>G25*AP25</f>
        <v>0</v>
      </c>
      <c r="BJ25" s="21">
        <f>G25*H25</f>
        <v>0</v>
      </c>
      <c r="BK25" s="21" t="s">
        <v>421</v>
      </c>
      <c r="BL25" s="41">
        <v>61</v>
      </c>
    </row>
    <row r="26" spans="1:64" ht="12.75">
      <c r="A26" s="4" t="s">
        <v>16</v>
      </c>
      <c r="B26" s="13"/>
      <c r="C26" s="13" t="s">
        <v>115</v>
      </c>
      <c r="D26" s="137" t="s">
        <v>234</v>
      </c>
      <c r="E26" s="138"/>
      <c r="F26" s="13" t="s">
        <v>344</v>
      </c>
      <c r="G26" s="21">
        <v>22</v>
      </c>
      <c r="H26" s="21">
        <v>0</v>
      </c>
      <c r="I26" s="21">
        <f>G26*AO26</f>
        <v>0</v>
      </c>
      <c r="J26" s="21">
        <f>G26*AP26</f>
        <v>0</v>
      </c>
      <c r="K26" s="21">
        <f>G26*H26</f>
        <v>0</v>
      </c>
      <c r="L26" s="21">
        <v>0.01278</v>
      </c>
      <c r="M26" s="21">
        <f>G26*L26</f>
        <v>0.28115999999999997</v>
      </c>
      <c r="N26" s="35" t="s">
        <v>372</v>
      </c>
      <c r="O26" s="39"/>
      <c r="Z26" s="41">
        <f>IF(AQ26="5",BJ26,0)</f>
        <v>0</v>
      </c>
      <c r="AB26" s="41">
        <f>IF(AQ26="1",BH26,0)</f>
        <v>0</v>
      </c>
      <c r="AC26" s="41">
        <f>IF(AQ26="1",BI26,0)</f>
        <v>0</v>
      </c>
      <c r="AD26" s="41">
        <f>IF(AQ26="7",BH26,0)</f>
        <v>0</v>
      </c>
      <c r="AE26" s="41">
        <f>IF(AQ26="7",BI26,0)</f>
        <v>0</v>
      </c>
      <c r="AF26" s="41">
        <f>IF(AQ26="2",BH26,0)</f>
        <v>0</v>
      </c>
      <c r="AG26" s="41">
        <f>IF(AQ26="2",BI26,0)</f>
        <v>0</v>
      </c>
      <c r="AH26" s="41">
        <f>IF(AQ26="0",BJ26,0)</f>
        <v>0</v>
      </c>
      <c r="AI26" s="31"/>
      <c r="AJ26" s="21">
        <f>IF(AN26=0,K26,0)</f>
        <v>0</v>
      </c>
      <c r="AK26" s="21">
        <f>IF(AN26=15,K26,0)</f>
        <v>0</v>
      </c>
      <c r="AL26" s="21">
        <f>IF(AN26=21,K26,0)</f>
        <v>0</v>
      </c>
      <c r="AN26" s="41">
        <v>15</v>
      </c>
      <c r="AO26" s="41">
        <f>H26*0.174583333333333</f>
        <v>0</v>
      </c>
      <c r="AP26" s="41">
        <f>H26*(1-0.174583333333333)</f>
        <v>0</v>
      </c>
      <c r="AQ26" s="42" t="s">
        <v>6</v>
      </c>
      <c r="AV26" s="41">
        <f>AW26+AX26</f>
        <v>0</v>
      </c>
      <c r="AW26" s="41">
        <f>G26*AO26</f>
        <v>0</v>
      </c>
      <c r="AX26" s="41">
        <f>G26*AP26</f>
        <v>0</v>
      </c>
      <c r="AY26" s="44" t="s">
        <v>387</v>
      </c>
      <c r="AZ26" s="44" t="s">
        <v>409</v>
      </c>
      <c r="BA26" s="31" t="s">
        <v>416</v>
      </c>
      <c r="BC26" s="41">
        <f>AW26+AX26</f>
        <v>0</v>
      </c>
      <c r="BD26" s="41">
        <f>H26/(100-BE26)*100</f>
        <v>0</v>
      </c>
      <c r="BE26" s="41">
        <v>0</v>
      </c>
      <c r="BF26" s="41">
        <f>M26</f>
        <v>0.28115999999999997</v>
      </c>
      <c r="BH26" s="21">
        <f>G26*AO26</f>
        <v>0</v>
      </c>
      <c r="BI26" s="21">
        <f>G26*AP26</f>
        <v>0</v>
      </c>
      <c r="BJ26" s="21">
        <f>G26*H26</f>
        <v>0</v>
      </c>
      <c r="BK26" s="21" t="s">
        <v>421</v>
      </c>
      <c r="BL26" s="41">
        <v>61</v>
      </c>
    </row>
    <row r="27" spans="1:64" ht="12.75">
      <c r="A27" s="4" t="s">
        <v>17</v>
      </c>
      <c r="B27" s="13"/>
      <c r="C27" s="13" t="s">
        <v>116</v>
      </c>
      <c r="D27" s="137" t="s">
        <v>235</v>
      </c>
      <c r="E27" s="138"/>
      <c r="F27" s="13" t="s">
        <v>344</v>
      </c>
      <c r="G27" s="21">
        <v>46</v>
      </c>
      <c r="H27" s="21">
        <v>0</v>
      </c>
      <c r="I27" s="21">
        <f>G27*AO27</f>
        <v>0</v>
      </c>
      <c r="J27" s="21">
        <f>G27*AP27</f>
        <v>0</v>
      </c>
      <c r="K27" s="21">
        <f>G27*H27</f>
        <v>0</v>
      </c>
      <c r="L27" s="21">
        <v>0.00458</v>
      </c>
      <c r="M27" s="21">
        <f>G27*L27</f>
        <v>0.21068</v>
      </c>
      <c r="N27" s="35" t="s">
        <v>372</v>
      </c>
      <c r="O27" s="39"/>
      <c r="Z27" s="41">
        <f>IF(AQ27="5",BJ27,0)</f>
        <v>0</v>
      </c>
      <c r="AB27" s="41">
        <f>IF(AQ27="1",BH27,0)</f>
        <v>0</v>
      </c>
      <c r="AC27" s="41">
        <f>IF(AQ27="1",BI27,0)</f>
        <v>0</v>
      </c>
      <c r="AD27" s="41">
        <f>IF(AQ27="7",BH27,0)</f>
        <v>0</v>
      </c>
      <c r="AE27" s="41">
        <f>IF(AQ27="7",BI27,0)</f>
        <v>0</v>
      </c>
      <c r="AF27" s="41">
        <f>IF(AQ27="2",BH27,0)</f>
        <v>0</v>
      </c>
      <c r="AG27" s="41">
        <f>IF(AQ27="2",BI27,0)</f>
        <v>0</v>
      </c>
      <c r="AH27" s="41">
        <f>IF(AQ27="0",BJ27,0)</f>
        <v>0</v>
      </c>
      <c r="AI27" s="31"/>
      <c r="AJ27" s="21">
        <f>IF(AN27=0,K27,0)</f>
        <v>0</v>
      </c>
      <c r="AK27" s="21">
        <f>IF(AN27=15,K27,0)</f>
        <v>0</v>
      </c>
      <c r="AL27" s="21">
        <f>IF(AN27=21,K27,0)</f>
        <v>0</v>
      </c>
      <c r="AN27" s="41">
        <v>15</v>
      </c>
      <c r="AO27" s="41">
        <f>H27*0.132752314994942</f>
        <v>0</v>
      </c>
      <c r="AP27" s="41">
        <f>H27*(1-0.132752314994942)</f>
        <v>0</v>
      </c>
      <c r="AQ27" s="42" t="s">
        <v>6</v>
      </c>
      <c r="AV27" s="41">
        <f>AW27+AX27</f>
        <v>0</v>
      </c>
      <c r="AW27" s="41">
        <f>G27*AO27</f>
        <v>0</v>
      </c>
      <c r="AX27" s="41">
        <f>G27*AP27</f>
        <v>0</v>
      </c>
      <c r="AY27" s="44" t="s">
        <v>387</v>
      </c>
      <c r="AZ27" s="44" t="s">
        <v>409</v>
      </c>
      <c r="BA27" s="31" t="s">
        <v>416</v>
      </c>
      <c r="BC27" s="41">
        <f>AW27+AX27</f>
        <v>0</v>
      </c>
      <c r="BD27" s="41">
        <f>H27/(100-BE27)*100</f>
        <v>0</v>
      </c>
      <c r="BE27" s="41">
        <v>0</v>
      </c>
      <c r="BF27" s="41">
        <f>M27</f>
        <v>0.21068</v>
      </c>
      <c r="BH27" s="21">
        <f>G27*AO27</f>
        <v>0</v>
      </c>
      <c r="BI27" s="21">
        <f>G27*AP27</f>
        <v>0</v>
      </c>
      <c r="BJ27" s="21">
        <f>G27*H27</f>
        <v>0</v>
      </c>
      <c r="BK27" s="21" t="s">
        <v>421</v>
      </c>
      <c r="BL27" s="41">
        <v>61</v>
      </c>
    </row>
    <row r="28" spans="1:47" ht="12.75">
      <c r="A28" s="5"/>
      <c r="B28" s="14"/>
      <c r="C28" s="14" t="s">
        <v>68</v>
      </c>
      <c r="D28" s="139" t="s">
        <v>236</v>
      </c>
      <c r="E28" s="140"/>
      <c r="F28" s="19" t="s">
        <v>5</v>
      </c>
      <c r="G28" s="19" t="s">
        <v>5</v>
      </c>
      <c r="H28" s="19"/>
      <c r="I28" s="47">
        <f>SUM(I29:I29)</f>
        <v>0</v>
      </c>
      <c r="J28" s="47">
        <f>SUM(J29:J29)</f>
        <v>0</v>
      </c>
      <c r="K28" s="47">
        <f>SUM(K29:K29)</f>
        <v>0</v>
      </c>
      <c r="L28" s="31"/>
      <c r="M28" s="47">
        <f>SUM(M29:M29)</f>
        <v>0.0213379</v>
      </c>
      <c r="N28" s="36"/>
      <c r="O28" s="39"/>
      <c r="AI28" s="31"/>
      <c r="AS28" s="47">
        <f>SUM(AJ29:AJ29)</f>
        <v>0</v>
      </c>
      <c r="AT28" s="47">
        <f>SUM(AK29:AK29)</f>
        <v>0</v>
      </c>
      <c r="AU28" s="47">
        <f>SUM(AL29:AL29)</f>
        <v>0</v>
      </c>
    </row>
    <row r="29" spans="1:64" ht="12.75">
      <c r="A29" s="4" t="s">
        <v>18</v>
      </c>
      <c r="B29" s="13"/>
      <c r="C29" s="13" t="s">
        <v>117</v>
      </c>
      <c r="D29" s="137" t="s">
        <v>237</v>
      </c>
      <c r="E29" s="138"/>
      <c r="F29" s="13" t="s">
        <v>345</v>
      </c>
      <c r="G29" s="21">
        <v>57.67</v>
      </c>
      <c r="H29" s="21">
        <v>0</v>
      </c>
      <c r="I29" s="21">
        <f>G29*AO29</f>
        <v>0</v>
      </c>
      <c r="J29" s="21">
        <f>G29*AP29</f>
        <v>0</v>
      </c>
      <c r="K29" s="21">
        <f>G29*H29</f>
        <v>0</v>
      </c>
      <c r="L29" s="21">
        <v>0.00037</v>
      </c>
      <c r="M29" s="21">
        <f>G29*L29</f>
        <v>0.0213379</v>
      </c>
      <c r="N29" s="35" t="s">
        <v>372</v>
      </c>
      <c r="O29" s="39"/>
      <c r="Z29" s="41">
        <f>IF(AQ29="5",BJ29,0)</f>
        <v>0</v>
      </c>
      <c r="AB29" s="41">
        <f>IF(AQ29="1",BH29,0)</f>
        <v>0</v>
      </c>
      <c r="AC29" s="41">
        <f>IF(AQ29="1",BI29,0)</f>
        <v>0</v>
      </c>
      <c r="AD29" s="41">
        <f>IF(AQ29="7",BH29,0)</f>
        <v>0</v>
      </c>
      <c r="AE29" s="41">
        <f>IF(AQ29="7",BI29,0)</f>
        <v>0</v>
      </c>
      <c r="AF29" s="41">
        <f>IF(AQ29="2",BH29,0)</f>
        <v>0</v>
      </c>
      <c r="AG29" s="41">
        <f>IF(AQ29="2",BI29,0)</f>
        <v>0</v>
      </c>
      <c r="AH29" s="41">
        <f>IF(AQ29="0",BJ29,0)</f>
        <v>0</v>
      </c>
      <c r="AI29" s="31"/>
      <c r="AJ29" s="21">
        <f>IF(AN29=0,K29,0)</f>
        <v>0</v>
      </c>
      <c r="AK29" s="21">
        <f>IF(AN29=15,K29,0)</f>
        <v>0</v>
      </c>
      <c r="AL29" s="21">
        <f>IF(AN29=21,K29,0)</f>
        <v>0</v>
      </c>
      <c r="AN29" s="41">
        <v>15</v>
      </c>
      <c r="AO29" s="41">
        <f>H29*0.586358971424211</f>
        <v>0</v>
      </c>
      <c r="AP29" s="41">
        <f>H29*(1-0.586358971424211)</f>
        <v>0</v>
      </c>
      <c r="AQ29" s="42" t="s">
        <v>6</v>
      </c>
      <c r="AV29" s="41">
        <f>AW29+AX29</f>
        <v>0</v>
      </c>
      <c r="AW29" s="41">
        <f>G29*AO29</f>
        <v>0</v>
      </c>
      <c r="AX29" s="41">
        <f>G29*AP29</f>
        <v>0</v>
      </c>
      <c r="AY29" s="44" t="s">
        <v>388</v>
      </c>
      <c r="AZ29" s="44" t="s">
        <v>409</v>
      </c>
      <c r="BA29" s="31" t="s">
        <v>416</v>
      </c>
      <c r="BC29" s="41">
        <f>AW29+AX29</f>
        <v>0</v>
      </c>
      <c r="BD29" s="41">
        <f>H29/(100-BE29)*100</f>
        <v>0</v>
      </c>
      <c r="BE29" s="41">
        <v>0</v>
      </c>
      <c r="BF29" s="41">
        <f>M29</f>
        <v>0.0213379</v>
      </c>
      <c r="BH29" s="21">
        <f>G29*AO29</f>
        <v>0</v>
      </c>
      <c r="BI29" s="21">
        <f>G29*AP29</f>
        <v>0</v>
      </c>
      <c r="BJ29" s="21">
        <f>G29*H29</f>
        <v>0</v>
      </c>
      <c r="BK29" s="21" t="s">
        <v>421</v>
      </c>
      <c r="BL29" s="41">
        <v>63</v>
      </c>
    </row>
    <row r="30" spans="1:47" ht="12.75">
      <c r="A30" s="5"/>
      <c r="B30" s="14"/>
      <c r="C30" s="14" t="s">
        <v>118</v>
      </c>
      <c r="D30" s="139" t="s">
        <v>238</v>
      </c>
      <c r="E30" s="140"/>
      <c r="F30" s="19" t="s">
        <v>5</v>
      </c>
      <c r="G30" s="19" t="s">
        <v>5</v>
      </c>
      <c r="H30" s="19" t="s">
        <v>5</v>
      </c>
      <c r="I30" s="47">
        <f>SUM(I31:I38)</f>
        <v>0</v>
      </c>
      <c r="J30" s="47">
        <f>SUM(J31:J38)</f>
        <v>0</v>
      </c>
      <c r="K30" s="47">
        <f>SUM(K31:K38)</f>
        <v>0</v>
      </c>
      <c r="L30" s="31"/>
      <c r="M30" s="47">
        <f>SUM(M31:M38)</f>
        <v>0.041495000000000004</v>
      </c>
      <c r="N30" s="36"/>
      <c r="O30" s="39"/>
      <c r="AI30" s="31"/>
      <c r="AS30" s="47">
        <f>SUM(AJ31:AJ38)</f>
        <v>0</v>
      </c>
      <c r="AT30" s="47">
        <f>SUM(AK31:AK38)</f>
        <v>0</v>
      </c>
      <c r="AU30" s="47">
        <f>SUM(AL31:AL38)</f>
        <v>0</v>
      </c>
    </row>
    <row r="31" spans="1:64" ht="12.75">
      <c r="A31" s="4" t="s">
        <v>19</v>
      </c>
      <c r="B31" s="13"/>
      <c r="C31" s="13" t="s">
        <v>119</v>
      </c>
      <c r="D31" s="137" t="s">
        <v>239</v>
      </c>
      <c r="E31" s="138"/>
      <c r="F31" s="13" t="s">
        <v>346</v>
      </c>
      <c r="G31" s="21">
        <v>4.5</v>
      </c>
      <c r="H31" s="21">
        <v>0</v>
      </c>
      <c r="I31" s="21">
        <f aca="true" t="shared" si="0" ref="I31:I38">G31*AO31</f>
        <v>0</v>
      </c>
      <c r="J31" s="21">
        <f aca="true" t="shared" si="1" ref="J31:J38">G31*AP31</f>
        <v>0</v>
      </c>
      <c r="K31" s="21">
        <f aca="true" t="shared" si="2" ref="K31:K38">G31*H31</f>
        <v>0</v>
      </c>
      <c r="L31" s="21">
        <v>0.00128</v>
      </c>
      <c r="M31" s="21">
        <f aca="true" t="shared" si="3" ref="M31:M38">G31*L31</f>
        <v>0.00576</v>
      </c>
      <c r="N31" s="35" t="s">
        <v>372</v>
      </c>
      <c r="O31" s="39"/>
      <c r="Z31" s="41">
        <f aca="true" t="shared" si="4" ref="Z31:Z38">IF(AQ31="5",BJ31,0)</f>
        <v>0</v>
      </c>
      <c r="AB31" s="41">
        <f aca="true" t="shared" si="5" ref="AB31:AB38">IF(AQ31="1",BH31,0)</f>
        <v>0</v>
      </c>
      <c r="AC31" s="41">
        <f aca="true" t="shared" si="6" ref="AC31:AC38">IF(AQ31="1",BI31,0)</f>
        <v>0</v>
      </c>
      <c r="AD31" s="41">
        <f aca="true" t="shared" si="7" ref="AD31:AD38">IF(AQ31="7",BH31,0)</f>
        <v>0</v>
      </c>
      <c r="AE31" s="41">
        <f aca="true" t="shared" si="8" ref="AE31:AE38">IF(AQ31="7",BI31,0)</f>
        <v>0</v>
      </c>
      <c r="AF31" s="41">
        <f aca="true" t="shared" si="9" ref="AF31:AF38">IF(AQ31="2",BH31,0)</f>
        <v>0</v>
      </c>
      <c r="AG31" s="41">
        <f aca="true" t="shared" si="10" ref="AG31:AG38">IF(AQ31="2",BI31,0)</f>
        <v>0</v>
      </c>
      <c r="AH31" s="41">
        <f aca="true" t="shared" si="11" ref="AH31:AH38">IF(AQ31="0",BJ31,0)</f>
        <v>0</v>
      </c>
      <c r="AI31" s="31"/>
      <c r="AJ31" s="21">
        <f aca="true" t="shared" si="12" ref="AJ31:AJ38">IF(AN31=0,K31,0)</f>
        <v>0</v>
      </c>
      <c r="AK31" s="21">
        <f aca="true" t="shared" si="13" ref="AK31:AK38">IF(AN31=15,K31,0)</f>
        <v>0</v>
      </c>
      <c r="AL31" s="21">
        <f aca="true" t="shared" si="14" ref="AL31:AL38">IF(AN31=21,K31,0)</f>
        <v>0</v>
      </c>
      <c r="AN31" s="41">
        <v>15</v>
      </c>
      <c r="AO31" s="41">
        <f>H31*0.699048462049126</f>
        <v>0</v>
      </c>
      <c r="AP31" s="41">
        <f>H31*(1-0.699048462049126)</f>
        <v>0</v>
      </c>
      <c r="AQ31" s="42" t="s">
        <v>12</v>
      </c>
      <c r="AV31" s="41">
        <f aca="true" t="shared" si="15" ref="AV31:AV38">AW31+AX31</f>
        <v>0</v>
      </c>
      <c r="AW31" s="41">
        <f aca="true" t="shared" si="16" ref="AW31:AW38">G31*AO31</f>
        <v>0</v>
      </c>
      <c r="AX31" s="41">
        <f aca="true" t="shared" si="17" ref="AX31:AX38">G31*AP31</f>
        <v>0</v>
      </c>
      <c r="AY31" s="44" t="s">
        <v>389</v>
      </c>
      <c r="AZ31" s="44" t="s">
        <v>410</v>
      </c>
      <c r="BA31" s="31" t="s">
        <v>416</v>
      </c>
      <c r="BC31" s="41">
        <f aca="true" t="shared" si="18" ref="BC31:BC38">AW31+AX31</f>
        <v>0</v>
      </c>
      <c r="BD31" s="41">
        <f aca="true" t="shared" si="19" ref="BD31:BD38">H31/(100-BE31)*100</f>
        <v>0</v>
      </c>
      <c r="BE31" s="41">
        <v>0</v>
      </c>
      <c r="BF31" s="41">
        <f aca="true" t="shared" si="20" ref="BF31:BF38">M31</f>
        <v>0.00576</v>
      </c>
      <c r="BH31" s="21">
        <f aca="true" t="shared" si="21" ref="BH31:BH38">G31*AO31</f>
        <v>0</v>
      </c>
      <c r="BI31" s="21">
        <f aca="true" t="shared" si="22" ref="BI31:BI38">G31*AP31</f>
        <v>0</v>
      </c>
      <c r="BJ31" s="21">
        <f aca="true" t="shared" si="23" ref="BJ31:BJ38">G31*H31</f>
        <v>0</v>
      </c>
      <c r="BK31" s="21" t="s">
        <v>421</v>
      </c>
      <c r="BL31" s="41">
        <v>721</v>
      </c>
    </row>
    <row r="32" spans="1:64" ht="12.75">
      <c r="A32" s="4" t="s">
        <v>20</v>
      </c>
      <c r="B32" s="13"/>
      <c r="C32" s="13" t="s">
        <v>120</v>
      </c>
      <c r="D32" s="137" t="s">
        <v>240</v>
      </c>
      <c r="E32" s="138"/>
      <c r="F32" s="13" t="s">
        <v>346</v>
      </c>
      <c r="G32" s="21">
        <v>1.5</v>
      </c>
      <c r="H32" s="21">
        <v>0</v>
      </c>
      <c r="I32" s="21">
        <f t="shared" si="0"/>
        <v>0</v>
      </c>
      <c r="J32" s="21">
        <f t="shared" si="1"/>
        <v>0</v>
      </c>
      <c r="K32" s="21">
        <f t="shared" si="2"/>
        <v>0</v>
      </c>
      <c r="L32" s="21">
        <v>0.00215</v>
      </c>
      <c r="M32" s="21">
        <f t="shared" si="3"/>
        <v>0.003225</v>
      </c>
      <c r="N32" s="35" t="s">
        <v>372</v>
      </c>
      <c r="O32" s="39"/>
      <c r="Z32" s="41">
        <f t="shared" si="4"/>
        <v>0</v>
      </c>
      <c r="AB32" s="41">
        <f t="shared" si="5"/>
        <v>0</v>
      </c>
      <c r="AC32" s="41">
        <f t="shared" si="6"/>
        <v>0</v>
      </c>
      <c r="AD32" s="41">
        <f t="shared" si="7"/>
        <v>0</v>
      </c>
      <c r="AE32" s="41">
        <f t="shared" si="8"/>
        <v>0</v>
      </c>
      <c r="AF32" s="41">
        <f t="shared" si="9"/>
        <v>0</v>
      </c>
      <c r="AG32" s="41">
        <f t="shared" si="10"/>
        <v>0</v>
      </c>
      <c r="AH32" s="41">
        <f t="shared" si="11"/>
        <v>0</v>
      </c>
      <c r="AI32" s="31"/>
      <c r="AJ32" s="21">
        <f t="shared" si="12"/>
        <v>0</v>
      </c>
      <c r="AK32" s="21">
        <f t="shared" si="13"/>
        <v>0</v>
      </c>
      <c r="AL32" s="21">
        <f t="shared" si="14"/>
        <v>0</v>
      </c>
      <c r="AN32" s="41">
        <v>15</v>
      </c>
      <c r="AO32" s="41">
        <f>H32*0.677364122571034</f>
        <v>0</v>
      </c>
      <c r="AP32" s="41">
        <f>H32*(1-0.677364122571034)</f>
        <v>0</v>
      </c>
      <c r="AQ32" s="42" t="s">
        <v>12</v>
      </c>
      <c r="AV32" s="41">
        <f t="shared" si="15"/>
        <v>0</v>
      </c>
      <c r="AW32" s="41">
        <f t="shared" si="16"/>
        <v>0</v>
      </c>
      <c r="AX32" s="41">
        <f t="shared" si="17"/>
        <v>0</v>
      </c>
      <c r="AY32" s="44" t="s">
        <v>389</v>
      </c>
      <c r="AZ32" s="44" t="s">
        <v>410</v>
      </c>
      <c r="BA32" s="31" t="s">
        <v>416</v>
      </c>
      <c r="BC32" s="41">
        <f t="shared" si="18"/>
        <v>0</v>
      </c>
      <c r="BD32" s="41">
        <f t="shared" si="19"/>
        <v>0</v>
      </c>
      <c r="BE32" s="41">
        <v>0</v>
      </c>
      <c r="BF32" s="41">
        <f t="shared" si="20"/>
        <v>0.003225</v>
      </c>
      <c r="BH32" s="21">
        <f t="shared" si="21"/>
        <v>0</v>
      </c>
      <c r="BI32" s="21">
        <f t="shared" si="22"/>
        <v>0</v>
      </c>
      <c r="BJ32" s="21">
        <f t="shared" si="23"/>
        <v>0</v>
      </c>
      <c r="BK32" s="21" t="s">
        <v>421</v>
      </c>
      <c r="BL32" s="41">
        <v>721</v>
      </c>
    </row>
    <row r="33" spans="1:64" ht="12.75">
      <c r="A33" s="4" t="s">
        <v>21</v>
      </c>
      <c r="B33" s="13"/>
      <c r="C33" s="13" t="s">
        <v>121</v>
      </c>
      <c r="D33" s="137" t="s">
        <v>241</v>
      </c>
      <c r="E33" s="138"/>
      <c r="F33" s="13" t="s">
        <v>344</v>
      </c>
      <c r="G33" s="21">
        <v>2</v>
      </c>
      <c r="H33" s="21">
        <v>0</v>
      </c>
      <c r="I33" s="21">
        <f t="shared" si="0"/>
        <v>0</v>
      </c>
      <c r="J33" s="21">
        <f t="shared" si="1"/>
        <v>0</v>
      </c>
      <c r="K33" s="21">
        <f t="shared" si="2"/>
        <v>0</v>
      </c>
      <c r="L33" s="21">
        <v>0.00074</v>
      </c>
      <c r="M33" s="21">
        <f t="shared" si="3"/>
        <v>0.00148</v>
      </c>
      <c r="N33" s="35" t="s">
        <v>372</v>
      </c>
      <c r="O33" s="39"/>
      <c r="Z33" s="41">
        <f t="shared" si="4"/>
        <v>0</v>
      </c>
      <c r="AB33" s="41">
        <f t="shared" si="5"/>
        <v>0</v>
      </c>
      <c r="AC33" s="41">
        <f t="shared" si="6"/>
        <v>0</v>
      </c>
      <c r="AD33" s="41">
        <f t="shared" si="7"/>
        <v>0</v>
      </c>
      <c r="AE33" s="41">
        <f t="shared" si="8"/>
        <v>0</v>
      </c>
      <c r="AF33" s="41">
        <f t="shared" si="9"/>
        <v>0</v>
      </c>
      <c r="AG33" s="41">
        <f t="shared" si="10"/>
        <v>0</v>
      </c>
      <c r="AH33" s="41">
        <f t="shared" si="11"/>
        <v>0</v>
      </c>
      <c r="AI33" s="31"/>
      <c r="AJ33" s="21">
        <f t="shared" si="12"/>
        <v>0</v>
      </c>
      <c r="AK33" s="21">
        <f t="shared" si="13"/>
        <v>0</v>
      </c>
      <c r="AL33" s="21">
        <f t="shared" si="14"/>
        <v>0</v>
      </c>
      <c r="AN33" s="41">
        <v>15</v>
      </c>
      <c r="AO33" s="41">
        <f>H33*0.262900158478605</f>
        <v>0</v>
      </c>
      <c r="AP33" s="41">
        <f>H33*(1-0.262900158478605)</f>
        <v>0</v>
      </c>
      <c r="AQ33" s="42" t="s">
        <v>12</v>
      </c>
      <c r="AV33" s="41">
        <f t="shared" si="15"/>
        <v>0</v>
      </c>
      <c r="AW33" s="41">
        <f t="shared" si="16"/>
        <v>0</v>
      </c>
      <c r="AX33" s="41">
        <f t="shared" si="17"/>
        <v>0</v>
      </c>
      <c r="AY33" s="44" t="s">
        <v>389</v>
      </c>
      <c r="AZ33" s="44" t="s">
        <v>410</v>
      </c>
      <c r="BA33" s="31" t="s">
        <v>416</v>
      </c>
      <c r="BC33" s="41">
        <f t="shared" si="18"/>
        <v>0</v>
      </c>
      <c r="BD33" s="41">
        <f t="shared" si="19"/>
        <v>0</v>
      </c>
      <c r="BE33" s="41">
        <v>0</v>
      </c>
      <c r="BF33" s="41">
        <f t="shared" si="20"/>
        <v>0.00148</v>
      </c>
      <c r="BH33" s="21">
        <f t="shared" si="21"/>
        <v>0</v>
      </c>
      <c r="BI33" s="21">
        <f t="shared" si="22"/>
        <v>0</v>
      </c>
      <c r="BJ33" s="21">
        <f t="shared" si="23"/>
        <v>0</v>
      </c>
      <c r="BK33" s="21" t="s">
        <v>421</v>
      </c>
      <c r="BL33" s="41">
        <v>721</v>
      </c>
    </row>
    <row r="34" spans="1:64" ht="12.75">
      <c r="A34" s="4" t="s">
        <v>22</v>
      </c>
      <c r="B34" s="13"/>
      <c r="C34" s="13" t="s">
        <v>122</v>
      </c>
      <c r="D34" s="137" t="s">
        <v>242</v>
      </c>
      <c r="E34" s="138"/>
      <c r="F34" s="13" t="s">
        <v>344</v>
      </c>
      <c r="G34" s="21">
        <v>6</v>
      </c>
      <c r="H34" s="21">
        <v>0</v>
      </c>
      <c r="I34" s="21">
        <f t="shared" si="0"/>
        <v>0</v>
      </c>
      <c r="J34" s="21">
        <f t="shared" si="1"/>
        <v>0</v>
      </c>
      <c r="K34" s="21">
        <f t="shared" si="2"/>
        <v>0</v>
      </c>
      <c r="L34" s="21">
        <v>0.00055</v>
      </c>
      <c r="M34" s="21">
        <f t="shared" si="3"/>
        <v>0.0033</v>
      </c>
      <c r="N34" s="35" t="s">
        <v>372</v>
      </c>
      <c r="O34" s="39"/>
      <c r="Z34" s="41">
        <f t="shared" si="4"/>
        <v>0</v>
      </c>
      <c r="AB34" s="41">
        <f t="shared" si="5"/>
        <v>0</v>
      </c>
      <c r="AC34" s="41">
        <f t="shared" si="6"/>
        <v>0</v>
      </c>
      <c r="AD34" s="41">
        <f t="shared" si="7"/>
        <v>0</v>
      </c>
      <c r="AE34" s="41">
        <f t="shared" si="8"/>
        <v>0</v>
      </c>
      <c r="AF34" s="41">
        <f t="shared" si="9"/>
        <v>0</v>
      </c>
      <c r="AG34" s="41">
        <f t="shared" si="10"/>
        <v>0</v>
      </c>
      <c r="AH34" s="41">
        <f t="shared" si="11"/>
        <v>0</v>
      </c>
      <c r="AI34" s="31"/>
      <c r="AJ34" s="21">
        <f t="shared" si="12"/>
        <v>0</v>
      </c>
      <c r="AK34" s="21">
        <f t="shared" si="13"/>
        <v>0</v>
      </c>
      <c r="AL34" s="21">
        <f t="shared" si="14"/>
        <v>0</v>
      </c>
      <c r="AN34" s="41">
        <v>15</v>
      </c>
      <c r="AO34" s="41">
        <f>H34*0.590001196029183</f>
        <v>0</v>
      </c>
      <c r="AP34" s="41">
        <f>H34*(1-0.590001196029183)</f>
        <v>0</v>
      </c>
      <c r="AQ34" s="42" t="s">
        <v>12</v>
      </c>
      <c r="AV34" s="41">
        <f t="shared" si="15"/>
        <v>0</v>
      </c>
      <c r="AW34" s="41">
        <f t="shared" si="16"/>
        <v>0</v>
      </c>
      <c r="AX34" s="41">
        <f t="shared" si="17"/>
        <v>0</v>
      </c>
      <c r="AY34" s="44" t="s">
        <v>389</v>
      </c>
      <c r="AZ34" s="44" t="s">
        <v>410</v>
      </c>
      <c r="BA34" s="31" t="s">
        <v>416</v>
      </c>
      <c r="BC34" s="41">
        <f t="shared" si="18"/>
        <v>0</v>
      </c>
      <c r="BD34" s="41">
        <f t="shared" si="19"/>
        <v>0</v>
      </c>
      <c r="BE34" s="41">
        <v>0</v>
      </c>
      <c r="BF34" s="41">
        <f t="shared" si="20"/>
        <v>0.0033</v>
      </c>
      <c r="BH34" s="21">
        <f t="shared" si="21"/>
        <v>0</v>
      </c>
      <c r="BI34" s="21">
        <f t="shared" si="22"/>
        <v>0</v>
      </c>
      <c r="BJ34" s="21">
        <f t="shared" si="23"/>
        <v>0</v>
      </c>
      <c r="BK34" s="21" t="s">
        <v>421</v>
      </c>
      <c r="BL34" s="41">
        <v>721</v>
      </c>
    </row>
    <row r="35" spans="1:64" ht="12.75">
      <c r="A35" s="4" t="s">
        <v>23</v>
      </c>
      <c r="B35" s="13"/>
      <c r="C35" s="13" t="s">
        <v>123</v>
      </c>
      <c r="D35" s="137" t="s">
        <v>243</v>
      </c>
      <c r="E35" s="138"/>
      <c r="F35" s="13" t="s">
        <v>344</v>
      </c>
      <c r="G35" s="21">
        <v>1</v>
      </c>
      <c r="H35" s="21">
        <v>0</v>
      </c>
      <c r="I35" s="21">
        <f t="shared" si="0"/>
        <v>0</v>
      </c>
      <c r="J35" s="21">
        <f t="shared" si="1"/>
        <v>0</v>
      </c>
      <c r="K35" s="21">
        <f t="shared" si="2"/>
        <v>0</v>
      </c>
      <c r="L35" s="21">
        <v>0.00894</v>
      </c>
      <c r="M35" s="21">
        <f t="shared" si="3"/>
        <v>0.00894</v>
      </c>
      <c r="N35" s="35" t="s">
        <v>372</v>
      </c>
      <c r="O35" s="39"/>
      <c r="Z35" s="41">
        <f t="shared" si="4"/>
        <v>0</v>
      </c>
      <c r="AB35" s="41">
        <f t="shared" si="5"/>
        <v>0</v>
      </c>
      <c r="AC35" s="41">
        <f t="shared" si="6"/>
        <v>0</v>
      </c>
      <c r="AD35" s="41">
        <f t="shared" si="7"/>
        <v>0</v>
      </c>
      <c r="AE35" s="41">
        <f t="shared" si="8"/>
        <v>0</v>
      </c>
      <c r="AF35" s="41">
        <f t="shared" si="9"/>
        <v>0</v>
      </c>
      <c r="AG35" s="41">
        <f t="shared" si="10"/>
        <v>0</v>
      </c>
      <c r="AH35" s="41">
        <f t="shared" si="11"/>
        <v>0</v>
      </c>
      <c r="AI35" s="31"/>
      <c r="AJ35" s="21">
        <f t="shared" si="12"/>
        <v>0</v>
      </c>
      <c r="AK35" s="21">
        <f t="shared" si="13"/>
        <v>0</v>
      </c>
      <c r="AL35" s="21">
        <f t="shared" si="14"/>
        <v>0</v>
      </c>
      <c r="AN35" s="41">
        <v>15</v>
      </c>
      <c r="AO35" s="41">
        <f>H35*0.453008937437934</f>
        <v>0</v>
      </c>
      <c r="AP35" s="41">
        <f>H35*(1-0.453008937437934)</f>
        <v>0</v>
      </c>
      <c r="AQ35" s="42" t="s">
        <v>12</v>
      </c>
      <c r="AV35" s="41">
        <f t="shared" si="15"/>
        <v>0</v>
      </c>
      <c r="AW35" s="41">
        <f t="shared" si="16"/>
        <v>0</v>
      </c>
      <c r="AX35" s="41">
        <f t="shared" si="17"/>
        <v>0</v>
      </c>
      <c r="AY35" s="44" t="s">
        <v>389</v>
      </c>
      <c r="AZ35" s="44" t="s">
        <v>410</v>
      </c>
      <c r="BA35" s="31" t="s">
        <v>416</v>
      </c>
      <c r="BC35" s="41">
        <f t="shared" si="18"/>
        <v>0</v>
      </c>
      <c r="BD35" s="41">
        <f t="shared" si="19"/>
        <v>0</v>
      </c>
      <c r="BE35" s="41">
        <v>0</v>
      </c>
      <c r="BF35" s="41">
        <f t="shared" si="20"/>
        <v>0.00894</v>
      </c>
      <c r="BH35" s="21">
        <f t="shared" si="21"/>
        <v>0</v>
      </c>
      <c r="BI35" s="21">
        <f t="shared" si="22"/>
        <v>0</v>
      </c>
      <c r="BJ35" s="21">
        <f t="shared" si="23"/>
        <v>0</v>
      </c>
      <c r="BK35" s="21" t="s">
        <v>421</v>
      </c>
      <c r="BL35" s="41">
        <v>721</v>
      </c>
    </row>
    <row r="36" spans="1:64" ht="12.75">
      <c r="A36" s="4" t="s">
        <v>24</v>
      </c>
      <c r="B36" s="13"/>
      <c r="C36" s="13" t="s">
        <v>124</v>
      </c>
      <c r="D36" s="137" t="s">
        <v>244</v>
      </c>
      <c r="E36" s="138"/>
      <c r="F36" s="13" t="s">
        <v>344</v>
      </c>
      <c r="G36" s="21">
        <v>1</v>
      </c>
      <c r="H36" s="21">
        <v>0</v>
      </c>
      <c r="I36" s="21">
        <f t="shared" si="0"/>
        <v>0</v>
      </c>
      <c r="J36" s="21">
        <f t="shared" si="1"/>
        <v>0</v>
      </c>
      <c r="K36" s="21">
        <f t="shared" si="2"/>
        <v>0</v>
      </c>
      <c r="L36" s="21">
        <v>0.00093</v>
      </c>
      <c r="M36" s="21">
        <f t="shared" si="3"/>
        <v>0.00093</v>
      </c>
      <c r="N36" s="35" t="s">
        <v>372</v>
      </c>
      <c r="O36" s="39"/>
      <c r="Z36" s="41">
        <f t="shared" si="4"/>
        <v>0</v>
      </c>
      <c r="AB36" s="41">
        <f t="shared" si="5"/>
        <v>0</v>
      </c>
      <c r="AC36" s="41">
        <f t="shared" si="6"/>
        <v>0</v>
      </c>
      <c r="AD36" s="41">
        <f t="shared" si="7"/>
        <v>0</v>
      </c>
      <c r="AE36" s="41">
        <f t="shared" si="8"/>
        <v>0</v>
      </c>
      <c r="AF36" s="41">
        <f t="shared" si="9"/>
        <v>0</v>
      </c>
      <c r="AG36" s="41">
        <f t="shared" si="10"/>
        <v>0</v>
      </c>
      <c r="AH36" s="41">
        <f t="shared" si="11"/>
        <v>0</v>
      </c>
      <c r="AI36" s="31"/>
      <c r="AJ36" s="21">
        <f t="shared" si="12"/>
        <v>0</v>
      </c>
      <c r="AK36" s="21">
        <f t="shared" si="13"/>
        <v>0</v>
      </c>
      <c r="AL36" s="21">
        <f t="shared" si="14"/>
        <v>0</v>
      </c>
      <c r="AN36" s="41">
        <v>15</v>
      </c>
      <c r="AO36" s="41">
        <f>H36*0.910368457980532</f>
        <v>0</v>
      </c>
      <c r="AP36" s="41">
        <f>H36*(1-0.910368457980532)</f>
        <v>0</v>
      </c>
      <c r="AQ36" s="42" t="s">
        <v>12</v>
      </c>
      <c r="AV36" s="41">
        <f t="shared" si="15"/>
        <v>0</v>
      </c>
      <c r="AW36" s="41">
        <f t="shared" si="16"/>
        <v>0</v>
      </c>
      <c r="AX36" s="41">
        <f t="shared" si="17"/>
        <v>0</v>
      </c>
      <c r="AY36" s="44" t="s">
        <v>389</v>
      </c>
      <c r="AZ36" s="44" t="s">
        <v>410</v>
      </c>
      <c r="BA36" s="31" t="s">
        <v>416</v>
      </c>
      <c r="BC36" s="41">
        <f t="shared" si="18"/>
        <v>0</v>
      </c>
      <c r="BD36" s="41">
        <f t="shared" si="19"/>
        <v>0</v>
      </c>
      <c r="BE36" s="41">
        <v>0</v>
      </c>
      <c r="BF36" s="41">
        <f t="shared" si="20"/>
        <v>0.00093</v>
      </c>
      <c r="BH36" s="21">
        <f t="shared" si="21"/>
        <v>0</v>
      </c>
      <c r="BI36" s="21">
        <f t="shared" si="22"/>
        <v>0</v>
      </c>
      <c r="BJ36" s="21">
        <f t="shared" si="23"/>
        <v>0</v>
      </c>
      <c r="BK36" s="21" t="s">
        <v>421</v>
      </c>
      <c r="BL36" s="41">
        <v>721</v>
      </c>
    </row>
    <row r="37" spans="1:64" ht="12.75">
      <c r="A37" s="4" t="s">
        <v>25</v>
      </c>
      <c r="B37" s="13"/>
      <c r="C37" s="13" t="s">
        <v>125</v>
      </c>
      <c r="D37" s="137" t="s">
        <v>245</v>
      </c>
      <c r="E37" s="138"/>
      <c r="F37" s="13" t="s">
        <v>346</v>
      </c>
      <c r="G37" s="21">
        <v>2</v>
      </c>
      <c r="H37" s="21">
        <v>0</v>
      </c>
      <c r="I37" s="21">
        <f t="shared" si="0"/>
        <v>0</v>
      </c>
      <c r="J37" s="21">
        <f t="shared" si="1"/>
        <v>0</v>
      </c>
      <c r="K37" s="21">
        <f t="shared" si="2"/>
        <v>0</v>
      </c>
      <c r="L37" s="21">
        <v>0.00263</v>
      </c>
      <c r="M37" s="21">
        <f t="shared" si="3"/>
        <v>0.00526</v>
      </c>
      <c r="N37" s="35" t="s">
        <v>372</v>
      </c>
      <c r="O37" s="39"/>
      <c r="Z37" s="41">
        <f t="shared" si="4"/>
        <v>0</v>
      </c>
      <c r="AB37" s="41">
        <f t="shared" si="5"/>
        <v>0</v>
      </c>
      <c r="AC37" s="41">
        <f t="shared" si="6"/>
        <v>0</v>
      </c>
      <c r="AD37" s="41">
        <f t="shared" si="7"/>
        <v>0</v>
      </c>
      <c r="AE37" s="41">
        <f t="shared" si="8"/>
        <v>0</v>
      </c>
      <c r="AF37" s="41">
        <f t="shared" si="9"/>
        <v>0</v>
      </c>
      <c r="AG37" s="41">
        <f t="shared" si="10"/>
        <v>0</v>
      </c>
      <c r="AH37" s="41">
        <f t="shared" si="11"/>
        <v>0</v>
      </c>
      <c r="AI37" s="31"/>
      <c r="AJ37" s="21">
        <f t="shared" si="12"/>
        <v>0</v>
      </c>
      <c r="AK37" s="21">
        <f t="shared" si="13"/>
        <v>0</v>
      </c>
      <c r="AL37" s="21">
        <f t="shared" si="14"/>
        <v>0</v>
      </c>
      <c r="AN37" s="41">
        <v>15</v>
      </c>
      <c r="AO37" s="41">
        <f>H37*0</f>
        <v>0</v>
      </c>
      <c r="AP37" s="41">
        <f>H37*(1-0)</f>
        <v>0</v>
      </c>
      <c r="AQ37" s="42" t="s">
        <v>12</v>
      </c>
      <c r="AV37" s="41">
        <f t="shared" si="15"/>
        <v>0</v>
      </c>
      <c r="AW37" s="41">
        <f t="shared" si="16"/>
        <v>0</v>
      </c>
      <c r="AX37" s="41">
        <f t="shared" si="17"/>
        <v>0</v>
      </c>
      <c r="AY37" s="44" t="s">
        <v>389</v>
      </c>
      <c r="AZ37" s="44" t="s">
        <v>410</v>
      </c>
      <c r="BA37" s="31" t="s">
        <v>416</v>
      </c>
      <c r="BC37" s="41">
        <f t="shared" si="18"/>
        <v>0</v>
      </c>
      <c r="BD37" s="41">
        <f t="shared" si="19"/>
        <v>0</v>
      </c>
      <c r="BE37" s="41">
        <v>0</v>
      </c>
      <c r="BF37" s="41">
        <f t="shared" si="20"/>
        <v>0.00526</v>
      </c>
      <c r="BH37" s="21">
        <f t="shared" si="21"/>
        <v>0</v>
      </c>
      <c r="BI37" s="21">
        <f t="shared" si="22"/>
        <v>0</v>
      </c>
      <c r="BJ37" s="21">
        <f t="shared" si="23"/>
        <v>0</v>
      </c>
      <c r="BK37" s="21" t="s">
        <v>421</v>
      </c>
      <c r="BL37" s="41">
        <v>721</v>
      </c>
    </row>
    <row r="38" spans="1:64" ht="12.75">
      <c r="A38" s="4" t="s">
        <v>26</v>
      </c>
      <c r="B38" s="13"/>
      <c r="C38" s="13" t="s">
        <v>126</v>
      </c>
      <c r="D38" s="137" t="s">
        <v>246</v>
      </c>
      <c r="E38" s="138"/>
      <c r="F38" s="13" t="s">
        <v>346</v>
      </c>
      <c r="G38" s="21">
        <v>6</v>
      </c>
      <c r="H38" s="21">
        <v>0</v>
      </c>
      <c r="I38" s="21">
        <f t="shared" si="0"/>
        <v>0</v>
      </c>
      <c r="J38" s="21">
        <f t="shared" si="1"/>
        <v>0</v>
      </c>
      <c r="K38" s="21">
        <f t="shared" si="2"/>
        <v>0</v>
      </c>
      <c r="L38" s="21">
        <v>0.0021</v>
      </c>
      <c r="M38" s="21">
        <f t="shared" si="3"/>
        <v>0.0126</v>
      </c>
      <c r="N38" s="35" t="s">
        <v>372</v>
      </c>
      <c r="O38" s="39"/>
      <c r="Z38" s="41">
        <f t="shared" si="4"/>
        <v>0</v>
      </c>
      <c r="AB38" s="41">
        <f t="shared" si="5"/>
        <v>0</v>
      </c>
      <c r="AC38" s="41">
        <f t="shared" si="6"/>
        <v>0</v>
      </c>
      <c r="AD38" s="41">
        <f t="shared" si="7"/>
        <v>0</v>
      </c>
      <c r="AE38" s="41">
        <f t="shared" si="8"/>
        <v>0</v>
      </c>
      <c r="AF38" s="41">
        <f t="shared" si="9"/>
        <v>0</v>
      </c>
      <c r="AG38" s="41">
        <f t="shared" si="10"/>
        <v>0</v>
      </c>
      <c r="AH38" s="41">
        <f t="shared" si="11"/>
        <v>0</v>
      </c>
      <c r="AI38" s="31"/>
      <c r="AJ38" s="21">
        <f t="shared" si="12"/>
        <v>0</v>
      </c>
      <c r="AK38" s="21">
        <f t="shared" si="13"/>
        <v>0</v>
      </c>
      <c r="AL38" s="21">
        <f t="shared" si="14"/>
        <v>0</v>
      </c>
      <c r="AN38" s="41">
        <v>15</v>
      </c>
      <c r="AO38" s="41">
        <f>H38*0</f>
        <v>0</v>
      </c>
      <c r="AP38" s="41">
        <f>H38*(1-0)</f>
        <v>0</v>
      </c>
      <c r="AQ38" s="42" t="s">
        <v>12</v>
      </c>
      <c r="AV38" s="41">
        <f t="shared" si="15"/>
        <v>0</v>
      </c>
      <c r="AW38" s="41">
        <f t="shared" si="16"/>
        <v>0</v>
      </c>
      <c r="AX38" s="41">
        <f t="shared" si="17"/>
        <v>0</v>
      </c>
      <c r="AY38" s="44" t="s">
        <v>389</v>
      </c>
      <c r="AZ38" s="44" t="s">
        <v>410</v>
      </c>
      <c r="BA38" s="31" t="s">
        <v>416</v>
      </c>
      <c r="BC38" s="41">
        <f t="shared" si="18"/>
        <v>0</v>
      </c>
      <c r="BD38" s="41">
        <f t="shared" si="19"/>
        <v>0</v>
      </c>
      <c r="BE38" s="41">
        <v>0</v>
      </c>
      <c r="BF38" s="41">
        <f t="shared" si="20"/>
        <v>0.0126</v>
      </c>
      <c r="BH38" s="21">
        <f t="shared" si="21"/>
        <v>0</v>
      </c>
      <c r="BI38" s="21">
        <f t="shared" si="22"/>
        <v>0</v>
      </c>
      <c r="BJ38" s="21">
        <f t="shared" si="23"/>
        <v>0</v>
      </c>
      <c r="BK38" s="21" t="s">
        <v>421</v>
      </c>
      <c r="BL38" s="41">
        <v>721</v>
      </c>
    </row>
    <row r="39" spans="1:47" ht="12.75">
      <c r="A39" s="5"/>
      <c r="B39" s="14"/>
      <c r="C39" s="14" t="s">
        <v>127</v>
      </c>
      <c r="D39" s="139" t="s">
        <v>247</v>
      </c>
      <c r="E39" s="140"/>
      <c r="F39" s="19" t="s">
        <v>5</v>
      </c>
      <c r="G39" s="19" t="s">
        <v>5</v>
      </c>
      <c r="H39" s="19" t="s">
        <v>5</v>
      </c>
      <c r="I39" s="47">
        <f>SUM(I40:I49)</f>
        <v>0</v>
      </c>
      <c r="J39" s="47">
        <f>SUM(J40:J49)</f>
        <v>0</v>
      </c>
      <c r="K39" s="47">
        <f>SUM(K40:K49)</f>
        <v>0</v>
      </c>
      <c r="L39" s="31"/>
      <c r="M39" s="47">
        <f>SUM(M40:M49)</f>
        <v>0.01234</v>
      </c>
      <c r="N39" s="36"/>
      <c r="O39" s="39"/>
      <c r="AI39" s="31"/>
      <c r="AS39" s="47">
        <f>SUM(AJ40:AJ49)</f>
        <v>0</v>
      </c>
      <c r="AT39" s="47">
        <f>SUM(AK40:AK49)</f>
        <v>0</v>
      </c>
      <c r="AU39" s="47">
        <f>SUM(AL40:AL49)</f>
        <v>0</v>
      </c>
    </row>
    <row r="40" spans="1:64" ht="12.75">
      <c r="A40" s="4" t="s">
        <v>27</v>
      </c>
      <c r="B40" s="13"/>
      <c r="C40" s="13" t="s">
        <v>128</v>
      </c>
      <c r="D40" s="137" t="s">
        <v>248</v>
      </c>
      <c r="E40" s="138"/>
      <c r="F40" s="13" t="s">
        <v>346</v>
      </c>
      <c r="G40" s="21">
        <v>12</v>
      </c>
      <c r="H40" s="21">
        <v>0</v>
      </c>
      <c r="I40" s="21">
        <f aca="true" t="shared" si="24" ref="I40:I49">G40*AO40</f>
        <v>0</v>
      </c>
      <c r="J40" s="21">
        <f aca="true" t="shared" si="25" ref="J40:J49">G40*AP40</f>
        <v>0</v>
      </c>
      <c r="K40" s="21">
        <f aca="true" t="shared" si="26" ref="K40:K49">G40*H40</f>
        <v>0</v>
      </c>
      <c r="L40" s="21">
        <v>0.00049</v>
      </c>
      <c r="M40" s="21">
        <f aca="true" t="shared" si="27" ref="M40:M49">G40*L40</f>
        <v>0.00588</v>
      </c>
      <c r="N40" s="35" t="s">
        <v>372</v>
      </c>
      <c r="O40" s="39"/>
      <c r="Z40" s="41">
        <f aca="true" t="shared" si="28" ref="Z40:Z49">IF(AQ40="5",BJ40,0)</f>
        <v>0</v>
      </c>
      <c r="AB40" s="41">
        <f aca="true" t="shared" si="29" ref="AB40:AB49">IF(AQ40="1",BH40,0)</f>
        <v>0</v>
      </c>
      <c r="AC40" s="41">
        <f aca="true" t="shared" si="30" ref="AC40:AC49">IF(AQ40="1",BI40,0)</f>
        <v>0</v>
      </c>
      <c r="AD40" s="41">
        <f aca="true" t="shared" si="31" ref="AD40:AD49">IF(AQ40="7",BH40,0)</f>
        <v>0</v>
      </c>
      <c r="AE40" s="41">
        <f aca="true" t="shared" si="32" ref="AE40:AE49">IF(AQ40="7",BI40,0)</f>
        <v>0</v>
      </c>
      <c r="AF40" s="41">
        <f aca="true" t="shared" si="33" ref="AF40:AF49">IF(AQ40="2",BH40,0)</f>
        <v>0</v>
      </c>
      <c r="AG40" s="41">
        <f aca="true" t="shared" si="34" ref="AG40:AG49">IF(AQ40="2",BI40,0)</f>
        <v>0</v>
      </c>
      <c r="AH40" s="41">
        <f aca="true" t="shared" si="35" ref="AH40:AH49">IF(AQ40="0",BJ40,0)</f>
        <v>0</v>
      </c>
      <c r="AI40" s="31"/>
      <c r="AJ40" s="21">
        <f aca="true" t="shared" si="36" ref="AJ40:AJ49">IF(AN40=0,K40,0)</f>
        <v>0</v>
      </c>
      <c r="AK40" s="21">
        <f aca="true" t="shared" si="37" ref="AK40:AK49">IF(AN40=15,K40,0)</f>
        <v>0</v>
      </c>
      <c r="AL40" s="21">
        <f aca="true" t="shared" si="38" ref="AL40:AL49">IF(AN40=21,K40,0)</f>
        <v>0</v>
      </c>
      <c r="AN40" s="41">
        <v>15</v>
      </c>
      <c r="AO40" s="41">
        <f>H40*0.219777530589544</f>
        <v>0</v>
      </c>
      <c r="AP40" s="41">
        <f>H40*(1-0.219777530589544)</f>
        <v>0</v>
      </c>
      <c r="AQ40" s="42" t="s">
        <v>12</v>
      </c>
      <c r="AV40" s="41">
        <f aca="true" t="shared" si="39" ref="AV40:AV49">AW40+AX40</f>
        <v>0</v>
      </c>
      <c r="AW40" s="41">
        <f aca="true" t="shared" si="40" ref="AW40:AW49">G40*AO40</f>
        <v>0</v>
      </c>
      <c r="AX40" s="41">
        <f aca="true" t="shared" si="41" ref="AX40:AX49">G40*AP40</f>
        <v>0</v>
      </c>
      <c r="AY40" s="44" t="s">
        <v>390</v>
      </c>
      <c r="AZ40" s="44" t="s">
        <v>410</v>
      </c>
      <c r="BA40" s="31" t="s">
        <v>416</v>
      </c>
      <c r="BC40" s="41">
        <f aca="true" t="shared" si="42" ref="BC40:BC49">AW40+AX40</f>
        <v>0</v>
      </c>
      <c r="BD40" s="41">
        <f aca="true" t="shared" si="43" ref="BD40:BD49">H40/(100-BE40)*100</f>
        <v>0</v>
      </c>
      <c r="BE40" s="41">
        <v>0</v>
      </c>
      <c r="BF40" s="41">
        <f aca="true" t="shared" si="44" ref="BF40:BF49">M40</f>
        <v>0.00588</v>
      </c>
      <c r="BH40" s="21">
        <f aca="true" t="shared" si="45" ref="BH40:BH49">G40*AO40</f>
        <v>0</v>
      </c>
      <c r="BI40" s="21">
        <f aca="true" t="shared" si="46" ref="BI40:BI49">G40*AP40</f>
        <v>0</v>
      </c>
      <c r="BJ40" s="21">
        <f aca="true" t="shared" si="47" ref="BJ40:BJ49">G40*H40</f>
        <v>0</v>
      </c>
      <c r="BK40" s="21" t="s">
        <v>421</v>
      </c>
      <c r="BL40" s="41">
        <v>722</v>
      </c>
    </row>
    <row r="41" spans="1:64" ht="12.75">
      <c r="A41" s="4" t="s">
        <v>28</v>
      </c>
      <c r="B41" s="13"/>
      <c r="C41" s="13" t="s">
        <v>129</v>
      </c>
      <c r="D41" s="137" t="s">
        <v>249</v>
      </c>
      <c r="E41" s="138"/>
      <c r="F41" s="13" t="s">
        <v>344</v>
      </c>
      <c r="G41" s="21">
        <v>4</v>
      </c>
      <c r="H41" s="21">
        <v>0</v>
      </c>
      <c r="I41" s="21">
        <f t="shared" si="24"/>
        <v>0</v>
      </c>
      <c r="J41" s="21">
        <f t="shared" si="25"/>
        <v>0</v>
      </c>
      <c r="K41" s="21">
        <f t="shared" si="26"/>
        <v>0</v>
      </c>
      <c r="L41" s="21">
        <v>0</v>
      </c>
      <c r="M41" s="21">
        <f t="shared" si="27"/>
        <v>0</v>
      </c>
      <c r="N41" s="35" t="s">
        <v>372</v>
      </c>
      <c r="O41" s="39"/>
      <c r="Z41" s="41">
        <f t="shared" si="28"/>
        <v>0</v>
      </c>
      <c r="AB41" s="41">
        <f t="shared" si="29"/>
        <v>0</v>
      </c>
      <c r="AC41" s="41">
        <f t="shared" si="30"/>
        <v>0</v>
      </c>
      <c r="AD41" s="41">
        <f t="shared" si="31"/>
        <v>0</v>
      </c>
      <c r="AE41" s="41">
        <f t="shared" si="32"/>
        <v>0</v>
      </c>
      <c r="AF41" s="41">
        <f t="shared" si="33"/>
        <v>0</v>
      </c>
      <c r="AG41" s="41">
        <f t="shared" si="34"/>
        <v>0</v>
      </c>
      <c r="AH41" s="41">
        <f t="shared" si="35"/>
        <v>0</v>
      </c>
      <c r="AI41" s="31"/>
      <c r="AJ41" s="21">
        <f t="shared" si="36"/>
        <v>0</v>
      </c>
      <c r="AK41" s="21">
        <f t="shared" si="37"/>
        <v>0</v>
      </c>
      <c r="AL41" s="21">
        <f t="shared" si="38"/>
        <v>0</v>
      </c>
      <c r="AN41" s="41">
        <v>15</v>
      </c>
      <c r="AO41" s="41">
        <f>H41*0</f>
        <v>0</v>
      </c>
      <c r="AP41" s="41">
        <f>H41*(1-0)</f>
        <v>0</v>
      </c>
      <c r="AQ41" s="42" t="s">
        <v>12</v>
      </c>
      <c r="AV41" s="41">
        <f t="shared" si="39"/>
        <v>0</v>
      </c>
      <c r="AW41" s="41">
        <f t="shared" si="40"/>
        <v>0</v>
      </c>
      <c r="AX41" s="41">
        <f t="shared" si="41"/>
        <v>0</v>
      </c>
      <c r="AY41" s="44" t="s">
        <v>390</v>
      </c>
      <c r="AZ41" s="44" t="s">
        <v>410</v>
      </c>
      <c r="BA41" s="31" t="s">
        <v>416</v>
      </c>
      <c r="BC41" s="41">
        <f t="shared" si="42"/>
        <v>0</v>
      </c>
      <c r="BD41" s="41">
        <f t="shared" si="43"/>
        <v>0</v>
      </c>
      <c r="BE41" s="41">
        <v>0</v>
      </c>
      <c r="BF41" s="41">
        <f t="shared" si="44"/>
        <v>0</v>
      </c>
      <c r="BH41" s="21">
        <f t="shared" si="45"/>
        <v>0</v>
      </c>
      <c r="BI41" s="21">
        <f t="shared" si="46"/>
        <v>0</v>
      </c>
      <c r="BJ41" s="21">
        <f t="shared" si="47"/>
        <v>0</v>
      </c>
      <c r="BK41" s="21" t="s">
        <v>421</v>
      </c>
      <c r="BL41" s="41">
        <v>722</v>
      </c>
    </row>
    <row r="42" spans="1:64" ht="12.75">
      <c r="A42" s="4" t="s">
        <v>29</v>
      </c>
      <c r="B42" s="13"/>
      <c r="C42" s="13" t="s">
        <v>130</v>
      </c>
      <c r="D42" s="137" t="s">
        <v>250</v>
      </c>
      <c r="E42" s="138"/>
      <c r="F42" s="13" t="s">
        <v>344</v>
      </c>
      <c r="G42" s="21">
        <v>4</v>
      </c>
      <c r="H42" s="21">
        <v>0</v>
      </c>
      <c r="I42" s="21">
        <f t="shared" si="24"/>
        <v>0</v>
      </c>
      <c r="J42" s="21">
        <f t="shared" si="25"/>
        <v>0</v>
      </c>
      <c r="K42" s="21">
        <f t="shared" si="26"/>
        <v>0</v>
      </c>
      <c r="L42" s="21">
        <v>0.00028</v>
      </c>
      <c r="M42" s="21">
        <f t="shared" si="27"/>
        <v>0.00112</v>
      </c>
      <c r="N42" s="35" t="s">
        <v>372</v>
      </c>
      <c r="O42" s="39"/>
      <c r="Z42" s="41">
        <f t="shared" si="28"/>
        <v>0</v>
      </c>
      <c r="AB42" s="41">
        <f t="shared" si="29"/>
        <v>0</v>
      </c>
      <c r="AC42" s="41">
        <f t="shared" si="30"/>
        <v>0</v>
      </c>
      <c r="AD42" s="41">
        <f t="shared" si="31"/>
        <v>0</v>
      </c>
      <c r="AE42" s="41">
        <f t="shared" si="32"/>
        <v>0</v>
      </c>
      <c r="AF42" s="41">
        <f t="shared" si="33"/>
        <v>0</v>
      </c>
      <c r="AG42" s="41">
        <f t="shared" si="34"/>
        <v>0</v>
      </c>
      <c r="AH42" s="41">
        <f t="shared" si="35"/>
        <v>0</v>
      </c>
      <c r="AI42" s="31"/>
      <c r="AJ42" s="21">
        <f t="shared" si="36"/>
        <v>0</v>
      </c>
      <c r="AK42" s="21">
        <f t="shared" si="37"/>
        <v>0</v>
      </c>
      <c r="AL42" s="21">
        <f t="shared" si="38"/>
        <v>0</v>
      </c>
      <c r="AN42" s="41">
        <v>15</v>
      </c>
      <c r="AO42" s="41">
        <f>H42*0.230096124832967</f>
        <v>0</v>
      </c>
      <c r="AP42" s="41">
        <f>H42*(1-0.230096124832967)</f>
        <v>0</v>
      </c>
      <c r="AQ42" s="42" t="s">
        <v>12</v>
      </c>
      <c r="AV42" s="41">
        <f t="shared" si="39"/>
        <v>0</v>
      </c>
      <c r="AW42" s="41">
        <f t="shared" si="40"/>
        <v>0</v>
      </c>
      <c r="AX42" s="41">
        <f t="shared" si="41"/>
        <v>0</v>
      </c>
      <c r="AY42" s="44" t="s">
        <v>390</v>
      </c>
      <c r="AZ42" s="44" t="s">
        <v>410</v>
      </c>
      <c r="BA42" s="31" t="s">
        <v>416</v>
      </c>
      <c r="BC42" s="41">
        <f t="shared" si="42"/>
        <v>0</v>
      </c>
      <c r="BD42" s="41">
        <f t="shared" si="43"/>
        <v>0</v>
      </c>
      <c r="BE42" s="41">
        <v>0</v>
      </c>
      <c r="BF42" s="41">
        <f t="shared" si="44"/>
        <v>0.00112</v>
      </c>
      <c r="BH42" s="21">
        <f t="shared" si="45"/>
        <v>0</v>
      </c>
      <c r="BI42" s="21">
        <f t="shared" si="46"/>
        <v>0</v>
      </c>
      <c r="BJ42" s="21">
        <f t="shared" si="47"/>
        <v>0</v>
      </c>
      <c r="BK42" s="21" t="s">
        <v>421</v>
      </c>
      <c r="BL42" s="41">
        <v>722</v>
      </c>
    </row>
    <row r="43" spans="1:64" ht="12.75">
      <c r="A43" s="4" t="s">
        <v>30</v>
      </c>
      <c r="B43" s="13"/>
      <c r="C43" s="13" t="s">
        <v>131</v>
      </c>
      <c r="D43" s="137" t="s">
        <v>251</v>
      </c>
      <c r="E43" s="138"/>
      <c r="F43" s="13" t="s">
        <v>344</v>
      </c>
      <c r="G43" s="21">
        <v>4</v>
      </c>
      <c r="H43" s="21">
        <v>0</v>
      </c>
      <c r="I43" s="21">
        <f t="shared" si="24"/>
        <v>0</v>
      </c>
      <c r="J43" s="21">
        <f t="shared" si="25"/>
        <v>0</v>
      </c>
      <c r="K43" s="21">
        <f t="shared" si="26"/>
        <v>0</v>
      </c>
      <c r="L43" s="21">
        <v>0</v>
      </c>
      <c r="M43" s="21">
        <f t="shared" si="27"/>
        <v>0</v>
      </c>
      <c r="N43" s="35" t="s">
        <v>372</v>
      </c>
      <c r="O43" s="39"/>
      <c r="Z43" s="41">
        <f t="shared" si="28"/>
        <v>0</v>
      </c>
      <c r="AB43" s="41">
        <f t="shared" si="29"/>
        <v>0</v>
      </c>
      <c r="AC43" s="41">
        <f t="shared" si="30"/>
        <v>0</v>
      </c>
      <c r="AD43" s="41">
        <f t="shared" si="31"/>
        <v>0</v>
      </c>
      <c r="AE43" s="41">
        <f t="shared" si="32"/>
        <v>0</v>
      </c>
      <c r="AF43" s="41">
        <f t="shared" si="33"/>
        <v>0</v>
      </c>
      <c r="AG43" s="41">
        <f t="shared" si="34"/>
        <v>0</v>
      </c>
      <c r="AH43" s="41">
        <f t="shared" si="35"/>
        <v>0</v>
      </c>
      <c r="AI43" s="31"/>
      <c r="AJ43" s="21">
        <f t="shared" si="36"/>
        <v>0</v>
      </c>
      <c r="AK43" s="21">
        <f t="shared" si="37"/>
        <v>0</v>
      </c>
      <c r="AL43" s="21">
        <f t="shared" si="38"/>
        <v>0</v>
      </c>
      <c r="AN43" s="41">
        <v>15</v>
      </c>
      <c r="AO43" s="41">
        <f>H43*0</f>
        <v>0</v>
      </c>
      <c r="AP43" s="41">
        <f>H43*(1-0)</f>
        <v>0</v>
      </c>
      <c r="AQ43" s="42" t="s">
        <v>12</v>
      </c>
      <c r="AV43" s="41">
        <f t="shared" si="39"/>
        <v>0</v>
      </c>
      <c r="AW43" s="41">
        <f t="shared" si="40"/>
        <v>0</v>
      </c>
      <c r="AX43" s="41">
        <f t="shared" si="41"/>
        <v>0</v>
      </c>
      <c r="AY43" s="44" t="s">
        <v>390</v>
      </c>
      <c r="AZ43" s="44" t="s">
        <v>410</v>
      </c>
      <c r="BA43" s="31" t="s">
        <v>416</v>
      </c>
      <c r="BC43" s="41">
        <f t="shared" si="42"/>
        <v>0</v>
      </c>
      <c r="BD43" s="41">
        <f t="shared" si="43"/>
        <v>0</v>
      </c>
      <c r="BE43" s="41">
        <v>0</v>
      </c>
      <c r="BF43" s="41">
        <f t="shared" si="44"/>
        <v>0</v>
      </c>
      <c r="BH43" s="21">
        <f t="shared" si="45"/>
        <v>0</v>
      </c>
      <c r="BI43" s="21">
        <f t="shared" si="46"/>
        <v>0</v>
      </c>
      <c r="BJ43" s="21">
        <f t="shared" si="47"/>
        <v>0</v>
      </c>
      <c r="BK43" s="21" t="s">
        <v>421</v>
      </c>
      <c r="BL43" s="41">
        <v>722</v>
      </c>
    </row>
    <row r="44" spans="1:64" ht="12.75">
      <c r="A44" s="4" t="s">
        <v>31</v>
      </c>
      <c r="B44" s="13"/>
      <c r="C44" s="13" t="s">
        <v>132</v>
      </c>
      <c r="D44" s="137" t="s">
        <v>252</v>
      </c>
      <c r="E44" s="138"/>
      <c r="F44" s="13" t="s">
        <v>344</v>
      </c>
      <c r="G44" s="21">
        <v>2</v>
      </c>
      <c r="H44" s="21">
        <v>0</v>
      </c>
      <c r="I44" s="21">
        <f t="shared" si="24"/>
        <v>0</v>
      </c>
      <c r="J44" s="21">
        <f t="shared" si="25"/>
        <v>0</v>
      </c>
      <c r="K44" s="21">
        <f t="shared" si="26"/>
        <v>0</v>
      </c>
      <c r="L44" s="21">
        <v>2E-05</v>
      </c>
      <c r="M44" s="21">
        <f t="shared" si="27"/>
        <v>4E-05</v>
      </c>
      <c r="N44" s="35" t="s">
        <v>372</v>
      </c>
      <c r="O44" s="39"/>
      <c r="Z44" s="41">
        <f t="shared" si="28"/>
        <v>0</v>
      </c>
      <c r="AB44" s="41">
        <f t="shared" si="29"/>
        <v>0</v>
      </c>
      <c r="AC44" s="41">
        <f t="shared" si="30"/>
        <v>0</v>
      </c>
      <c r="AD44" s="41">
        <f t="shared" si="31"/>
        <v>0</v>
      </c>
      <c r="AE44" s="41">
        <f t="shared" si="32"/>
        <v>0</v>
      </c>
      <c r="AF44" s="41">
        <f t="shared" si="33"/>
        <v>0</v>
      </c>
      <c r="AG44" s="41">
        <f t="shared" si="34"/>
        <v>0</v>
      </c>
      <c r="AH44" s="41">
        <f t="shared" si="35"/>
        <v>0</v>
      </c>
      <c r="AI44" s="31"/>
      <c r="AJ44" s="21">
        <f t="shared" si="36"/>
        <v>0</v>
      </c>
      <c r="AK44" s="21">
        <f t="shared" si="37"/>
        <v>0</v>
      </c>
      <c r="AL44" s="21">
        <f t="shared" si="38"/>
        <v>0</v>
      </c>
      <c r="AN44" s="41">
        <v>15</v>
      </c>
      <c r="AO44" s="41">
        <f>H44*0.0686315789473684</f>
        <v>0</v>
      </c>
      <c r="AP44" s="41">
        <f>H44*(1-0.0686315789473684)</f>
        <v>0</v>
      </c>
      <c r="AQ44" s="42" t="s">
        <v>12</v>
      </c>
      <c r="AV44" s="41">
        <f t="shared" si="39"/>
        <v>0</v>
      </c>
      <c r="AW44" s="41">
        <f t="shared" si="40"/>
        <v>0</v>
      </c>
      <c r="AX44" s="41">
        <f t="shared" si="41"/>
        <v>0</v>
      </c>
      <c r="AY44" s="44" t="s">
        <v>390</v>
      </c>
      <c r="AZ44" s="44" t="s">
        <v>410</v>
      </c>
      <c r="BA44" s="31" t="s">
        <v>416</v>
      </c>
      <c r="BC44" s="41">
        <f t="shared" si="42"/>
        <v>0</v>
      </c>
      <c r="BD44" s="41">
        <f t="shared" si="43"/>
        <v>0</v>
      </c>
      <c r="BE44" s="41">
        <v>0</v>
      </c>
      <c r="BF44" s="41">
        <f t="shared" si="44"/>
        <v>4E-05</v>
      </c>
      <c r="BH44" s="21">
        <f t="shared" si="45"/>
        <v>0</v>
      </c>
      <c r="BI44" s="21">
        <f t="shared" si="46"/>
        <v>0</v>
      </c>
      <c r="BJ44" s="21">
        <f t="shared" si="47"/>
        <v>0</v>
      </c>
      <c r="BK44" s="21" t="s">
        <v>421</v>
      </c>
      <c r="BL44" s="41">
        <v>722</v>
      </c>
    </row>
    <row r="45" spans="1:64" ht="12.75">
      <c r="A45" s="4" t="s">
        <v>32</v>
      </c>
      <c r="B45" s="13"/>
      <c r="C45" s="13" t="s">
        <v>133</v>
      </c>
      <c r="D45" s="137" t="s">
        <v>253</v>
      </c>
      <c r="E45" s="138"/>
      <c r="F45" s="13" t="s">
        <v>346</v>
      </c>
      <c r="G45" s="21">
        <v>12</v>
      </c>
      <c r="H45" s="21">
        <v>0</v>
      </c>
      <c r="I45" s="21">
        <f t="shared" si="24"/>
        <v>0</v>
      </c>
      <c r="J45" s="21">
        <f t="shared" si="25"/>
        <v>0</v>
      </c>
      <c r="K45" s="21">
        <f t="shared" si="26"/>
        <v>0</v>
      </c>
      <c r="L45" s="21">
        <v>1E-05</v>
      </c>
      <c r="M45" s="21">
        <f t="shared" si="27"/>
        <v>0.00012000000000000002</v>
      </c>
      <c r="N45" s="35" t="s">
        <v>372</v>
      </c>
      <c r="O45" s="39"/>
      <c r="Z45" s="41">
        <f t="shared" si="28"/>
        <v>0</v>
      </c>
      <c r="AB45" s="41">
        <f t="shared" si="29"/>
        <v>0</v>
      </c>
      <c r="AC45" s="41">
        <f t="shared" si="30"/>
        <v>0</v>
      </c>
      <c r="AD45" s="41">
        <f t="shared" si="31"/>
        <v>0</v>
      </c>
      <c r="AE45" s="41">
        <f t="shared" si="32"/>
        <v>0</v>
      </c>
      <c r="AF45" s="41">
        <f t="shared" si="33"/>
        <v>0</v>
      </c>
      <c r="AG45" s="41">
        <f t="shared" si="34"/>
        <v>0</v>
      </c>
      <c r="AH45" s="41">
        <f t="shared" si="35"/>
        <v>0</v>
      </c>
      <c r="AI45" s="31"/>
      <c r="AJ45" s="21">
        <f t="shared" si="36"/>
        <v>0</v>
      </c>
      <c r="AK45" s="21">
        <f t="shared" si="37"/>
        <v>0</v>
      </c>
      <c r="AL45" s="21">
        <f t="shared" si="38"/>
        <v>0</v>
      </c>
      <c r="AN45" s="41">
        <v>15</v>
      </c>
      <c r="AO45" s="41">
        <f>H45*0.179680274805126</f>
        <v>0</v>
      </c>
      <c r="AP45" s="41">
        <f>H45*(1-0.179680274805126)</f>
        <v>0</v>
      </c>
      <c r="AQ45" s="42" t="s">
        <v>12</v>
      </c>
      <c r="AV45" s="41">
        <f t="shared" si="39"/>
        <v>0</v>
      </c>
      <c r="AW45" s="41">
        <f t="shared" si="40"/>
        <v>0</v>
      </c>
      <c r="AX45" s="41">
        <f t="shared" si="41"/>
        <v>0</v>
      </c>
      <c r="AY45" s="44" t="s">
        <v>390</v>
      </c>
      <c r="AZ45" s="44" t="s">
        <v>410</v>
      </c>
      <c r="BA45" s="31" t="s">
        <v>416</v>
      </c>
      <c r="BC45" s="41">
        <f t="shared" si="42"/>
        <v>0</v>
      </c>
      <c r="BD45" s="41">
        <f t="shared" si="43"/>
        <v>0</v>
      </c>
      <c r="BE45" s="41">
        <v>0</v>
      </c>
      <c r="BF45" s="41">
        <f t="shared" si="44"/>
        <v>0.00012000000000000002</v>
      </c>
      <c r="BH45" s="21">
        <f t="shared" si="45"/>
        <v>0</v>
      </c>
      <c r="BI45" s="21">
        <f t="shared" si="46"/>
        <v>0</v>
      </c>
      <c r="BJ45" s="21">
        <f t="shared" si="47"/>
        <v>0</v>
      </c>
      <c r="BK45" s="21" t="s">
        <v>421</v>
      </c>
      <c r="BL45" s="41">
        <v>722</v>
      </c>
    </row>
    <row r="46" spans="1:64" ht="12.75">
      <c r="A46" s="4" t="s">
        <v>33</v>
      </c>
      <c r="B46" s="13"/>
      <c r="C46" s="13" t="s">
        <v>134</v>
      </c>
      <c r="D46" s="137" t="s">
        <v>254</v>
      </c>
      <c r="E46" s="138"/>
      <c r="F46" s="13" t="s">
        <v>344</v>
      </c>
      <c r="G46" s="21">
        <v>5</v>
      </c>
      <c r="H46" s="21">
        <v>0</v>
      </c>
      <c r="I46" s="21">
        <f t="shared" si="24"/>
        <v>0</v>
      </c>
      <c r="J46" s="21">
        <f t="shared" si="25"/>
        <v>0</v>
      </c>
      <c r="K46" s="21">
        <f t="shared" si="26"/>
        <v>0</v>
      </c>
      <c r="L46" s="21">
        <v>0.00018</v>
      </c>
      <c r="M46" s="21">
        <f t="shared" si="27"/>
        <v>0.0009000000000000001</v>
      </c>
      <c r="N46" s="35" t="s">
        <v>372</v>
      </c>
      <c r="O46" s="39"/>
      <c r="Z46" s="41">
        <f t="shared" si="28"/>
        <v>0</v>
      </c>
      <c r="AB46" s="41">
        <f t="shared" si="29"/>
        <v>0</v>
      </c>
      <c r="AC46" s="41">
        <f t="shared" si="30"/>
        <v>0</v>
      </c>
      <c r="AD46" s="41">
        <f t="shared" si="31"/>
        <v>0</v>
      </c>
      <c r="AE46" s="41">
        <f t="shared" si="32"/>
        <v>0</v>
      </c>
      <c r="AF46" s="41">
        <f t="shared" si="33"/>
        <v>0</v>
      </c>
      <c r="AG46" s="41">
        <f t="shared" si="34"/>
        <v>0</v>
      </c>
      <c r="AH46" s="41">
        <f t="shared" si="35"/>
        <v>0</v>
      </c>
      <c r="AI46" s="31"/>
      <c r="AJ46" s="21">
        <f t="shared" si="36"/>
        <v>0</v>
      </c>
      <c r="AK46" s="21">
        <f t="shared" si="37"/>
        <v>0</v>
      </c>
      <c r="AL46" s="21">
        <f t="shared" si="38"/>
        <v>0</v>
      </c>
      <c r="AN46" s="41">
        <v>15</v>
      </c>
      <c r="AO46" s="41">
        <f>H46*0.393879518072289</f>
        <v>0</v>
      </c>
      <c r="AP46" s="41">
        <f>H46*(1-0.393879518072289)</f>
        <v>0</v>
      </c>
      <c r="AQ46" s="42" t="s">
        <v>12</v>
      </c>
      <c r="AV46" s="41">
        <f t="shared" si="39"/>
        <v>0</v>
      </c>
      <c r="AW46" s="41">
        <f t="shared" si="40"/>
        <v>0</v>
      </c>
      <c r="AX46" s="41">
        <f t="shared" si="41"/>
        <v>0</v>
      </c>
      <c r="AY46" s="44" t="s">
        <v>390</v>
      </c>
      <c r="AZ46" s="44" t="s">
        <v>410</v>
      </c>
      <c r="BA46" s="31" t="s">
        <v>416</v>
      </c>
      <c r="BC46" s="41">
        <f t="shared" si="42"/>
        <v>0</v>
      </c>
      <c r="BD46" s="41">
        <f t="shared" si="43"/>
        <v>0</v>
      </c>
      <c r="BE46" s="41">
        <v>0</v>
      </c>
      <c r="BF46" s="41">
        <f t="shared" si="44"/>
        <v>0.0009000000000000001</v>
      </c>
      <c r="BH46" s="21">
        <f t="shared" si="45"/>
        <v>0</v>
      </c>
      <c r="BI46" s="21">
        <f t="shared" si="46"/>
        <v>0</v>
      </c>
      <c r="BJ46" s="21">
        <f t="shared" si="47"/>
        <v>0</v>
      </c>
      <c r="BK46" s="21" t="s">
        <v>421</v>
      </c>
      <c r="BL46" s="41">
        <v>722</v>
      </c>
    </row>
    <row r="47" spans="1:64" ht="12.75">
      <c r="A47" s="4" t="s">
        <v>34</v>
      </c>
      <c r="B47" s="13"/>
      <c r="C47" s="13" t="s">
        <v>135</v>
      </c>
      <c r="D47" s="137" t="s">
        <v>255</v>
      </c>
      <c r="E47" s="138"/>
      <c r="F47" s="13" t="s">
        <v>344</v>
      </c>
      <c r="G47" s="21">
        <v>2</v>
      </c>
      <c r="H47" s="21">
        <v>0</v>
      </c>
      <c r="I47" s="21">
        <f t="shared" si="24"/>
        <v>0</v>
      </c>
      <c r="J47" s="21">
        <f t="shared" si="25"/>
        <v>0</v>
      </c>
      <c r="K47" s="21">
        <f t="shared" si="26"/>
        <v>0</v>
      </c>
      <c r="L47" s="21">
        <v>0.00012</v>
      </c>
      <c r="M47" s="21">
        <f t="shared" si="27"/>
        <v>0.00024</v>
      </c>
      <c r="N47" s="35" t="s">
        <v>372</v>
      </c>
      <c r="O47" s="39"/>
      <c r="Z47" s="41">
        <f t="shared" si="28"/>
        <v>0</v>
      </c>
      <c r="AB47" s="41">
        <f t="shared" si="29"/>
        <v>0</v>
      </c>
      <c r="AC47" s="41">
        <f t="shared" si="30"/>
        <v>0</v>
      </c>
      <c r="AD47" s="41">
        <f t="shared" si="31"/>
        <v>0</v>
      </c>
      <c r="AE47" s="41">
        <f t="shared" si="32"/>
        <v>0</v>
      </c>
      <c r="AF47" s="41">
        <f t="shared" si="33"/>
        <v>0</v>
      </c>
      <c r="AG47" s="41">
        <f t="shared" si="34"/>
        <v>0</v>
      </c>
      <c r="AH47" s="41">
        <f t="shared" si="35"/>
        <v>0</v>
      </c>
      <c r="AI47" s="31"/>
      <c r="AJ47" s="21">
        <f t="shared" si="36"/>
        <v>0</v>
      </c>
      <c r="AK47" s="21">
        <f t="shared" si="37"/>
        <v>0</v>
      </c>
      <c r="AL47" s="21">
        <f t="shared" si="38"/>
        <v>0</v>
      </c>
      <c r="AN47" s="41">
        <v>15</v>
      </c>
      <c r="AO47" s="41">
        <f>H47*0.700029585798817</f>
        <v>0</v>
      </c>
      <c r="AP47" s="41">
        <f>H47*(1-0.700029585798817)</f>
        <v>0</v>
      </c>
      <c r="AQ47" s="42" t="s">
        <v>12</v>
      </c>
      <c r="AV47" s="41">
        <f t="shared" si="39"/>
        <v>0</v>
      </c>
      <c r="AW47" s="41">
        <f t="shared" si="40"/>
        <v>0</v>
      </c>
      <c r="AX47" s="41">
        <f t="shared" si="41"/>
        <v>0</v>
      </c>
      <c r="AY47" s="44" t="s">
        <v>390</v>
      </c>
      <c r="AZ47" s="44" t="s">
        <v>410</v>
      </c>
      <c r="BA47" s="31" t="s">
        <v>416</v>
      </c>
      <c r="BC47" s="41">
        <f t="shared" si="42"/>
        <v>0</v>
      </c>
      <c r="BD47" s="41">
        <f t="shared" si="43"/>
        <v>0</v>
      </c>
      <c r="BE47" s="41">
        <v>0</v>
      </c>
      <c r="BF47" s="41">
        <f t="shared" si="44"/>
        <v>0.00024</v>
      </c>
      <c r="BH47" s="21">
        <f t="shared" si="45"/>
        <v>0</v>
      </c>
      <c r="BI47" s="21">
        <f t="shared" si="46"/>
        <v>0</v>
      </c>
      <c r="BJ47" s="21">
        <f t="shared" si="47"/>
        <v>0</v>
      </c>
      <c r="BK47" s="21" t="s">
        <v>421</v>
      </c>
      <c r="BL47" s="41">
        <v>722</v>
      </c>
    </row>
    <row r="48" spans="1:64" ht="12.75">
      <c r="A48" s="4" t="s">
        <v>35</v>
      </c>
      <c r="B48" s="13"/>
      <c r="C48" s="13" t="s">
        <v>136</v>
      </c>
      <c r="D48" s="137" t="s">
        <v>256</v>
      </c>
      <c r="E48" s="138"/>
      <c r="F48" s="13" t="s">
        <v>346</v>
      </c>
      <c r="G48" s="21">
        <v>12</v>
      </c>
      <c r="H48" s="21">
        <v>0</v>
      </c>
      <c r="I48" s="21">
        <f t="shared" si="24"/>
        <v>0</v>
      </c>
      <c r="J48" s="21">
        <f t="shared" si="25"/>
        <v>0</v>
      </c>
      <c r="K48" s="21">
        <f t="shared" si="26"/>
        <v>0</v>
      </c>
      <c r="L48" s="21">
        <v>1E-05</v>
      </c>
      <c r="M48" s="21">
        <f t="shared" si="27"/>
        <v>0.00012000000000000002</v>
      </c>
      <c r="N48" s="35" t="s">
        <v>372</v>
      </c>
      <c r="O48" s="39"/>
      <c r="Z48" s="41">
        <f t="shared" si="28"/>
        <v>0</v>
      </c>
      <c r="AB48" s="41">
        <f t="shared" si="29"/>
        <v>0</v>
      </c>
      <c r="AC48" s="41">
        <f t="shared" si="30"/>
        <v>0</v>
      </c>
      <c r="AD48" s="41">
        <f t="shared" si="31"/>
        <v>0</v>
      </c>
      <c r="AE48" s="41">
        <f t="shared" si="32"/>
        <v>0</v>
      </c>
      <c r="AF48" s="41">
        <f t="shared" si="33"/>
        <v>0</v>
      </c>
      <c r="AG48" s="41">
        <f t="shared" si="34"/>
        <v>0</v>
      </c>
      <c r="AH48" s="41">
        <f t="shared" si="35"/>
        <v>0</v>
      </c>
      <c r="AI48" s="31"/>
      <c r="AJ48" s="21">
        <f t="shared" si="36"/>
        <v>0</v>
      </c>
      <c r="AK48" s="21">
        <f t="shared" si="37"/>
        <v>0</v>
      </c>
      <c r="AL48" s="21">
        <f t="shared" si="38"/>
        <v>0</v>
      </c>
      <c r="AN48" s="41">
        <v>15</v>
      </c>
      <c r="AO48" s="41">
        <f>H48*0.0515151515151515</f>
        <v>0</v>
      </c>
      <c r="AP48" s="41">
        <f>H48*(1-0.0515151515151515)</f>
        <v>0</v>
      </c>
      <c r="AQ48" s="42" t="s">
        <v>12</v>
      </c>
      <c r="AV48" s="41">
        <f t="shared" si="39"/>
        <v>0</v>
      </c>
      <c r="AW48" s="41">
        <f t="shared" si="40"/>
        <v>0</v>
      </c>
      <c r="AX48" s="41">
        <f t="shared" si="41"/>
        <v>0</v>
      </c>
      <c r="AY48" s="44" t="s">
        <v>390</v>
      </c>
      <c r="AZ48" s="44" t="s">
        <v>410</v>
      </c>
      <c r="BA48" s="31" t="s">
        <v>416</v>
      </c>
      <c r="BC48" s="41">
        <f t="shared" si="42"/>
        <v>0</v>
      </c>
      <c r="BD48" s="41">
        <f t="shared" si="43"/>
        <v>0</v>
      </c>
      <c r="BE48" s="41">
        <v>0</v>
      </c>
      <c r="BF48" s="41">
        <f t="shared" si="44"/>
        <v>0.00012000000000000002</v>
      </c>
      <c r="BH48" s="21">
        <f t="shared" si="45"/>
        <v>0</v>
      </c>
      <c r="BI48" s="21">
        <f t="shared" si="46"/>
        <v>0</v>
      </c>
      <c r="BJ48" s="21">
        <f t="shared" si="47"/>
        <v>0</v>
      </c>
      <c r="BK48" s="21" t="s">
        <v>421</v>
      </c>
      <c r="BL48" s="41">
        <v>722</v>
      </c>
    </row>
    <row r="49" spans="1:64" ht="12.75">
      <c r="A49" s="4" t="s">
        <v>36</v>
      </c>
      <c r="B49" s="13"/>
      <c r="C49" s="13" t="s">
        <v>137</v>
      </c>
      <c r="D49" s="137" t="s">
        <v>257</v>
      </c>
      <c r="E49" s="138"/>
      <c r="F49" s="13" t="s">
        <v>346</v>
      </c>
      <c r="G49" s="21">
        <v>14</v>
      </c>
      <c r="H49" s="21">
        <v>0</v>
      </c>
      <c r="I49" s="21">
        <f t="shared" si="24"/>
        <v>0</v>
      </c>
      <c r="J49" s="21">
        <f t="shared" si="25"/>
        <v>0</v>
      </c>
      <c r="K49" s="21">
        <f t="shared" si="26"/>
        <v>0</v>
      </c>
      <c r="L49" s="21">
        <v>0.00028</v>
      </c>
      <c r="M49" s="21">
        <f t="shared" si="27"/>
        <v>0.00392</v>
      </c>
      <c r="N49" s="35" t="s">
        <v>372</v>
      </c>
      <c r="O49" s="39"/>
      <c r="Z49" s="41">
        <f t="shared" si="28"/>
        <v>0</v>
      </c>
      <c r="AB49" s="41">
        <f t="shared" si="29"/>
        <v>0</v>
      </c>
      <c r="AC49" s="41">
        <f t="shared" si="30"/>
        <v>0</v>
      </c>
      <c r="AD49" s="41">
        <f t="shared" si="31"/>
        <v>0</v>
      </c>
      <c r="AE49" s="41">
        <f t="shared" si="32"/>
        <v>0</v>
      </c>
      <c r="AF49" s="41">
        <f t="shared" si="33"/>
        <v>0</v>
      </c>
      <c r="AG49" s="41">
        <f t="shared" si="34"/>
        <v>0</v>
      </c>
      <c r="AH49" s="41">
        <f t="shared" si="35"/>
        <v>0</v>
      </c>
      <c r="AI49" s="31"/>
      <c r="AJ49" s="21">
        <f t="shared" si="36"/>
        <v>0</v>
      </c>
      <c r="AK49" s="21">
        <f t="shared" si="37"/>
        <v>0</v>
      </c>
      <c r="AL49" s="21">
        <f t="shared" si="38"/>
        <v>0</v>
      </c>
      <c r="AN49" s="41">
        <v>15</v>
      </c>
      <c r="AO49" s="41">
        <f>H49*0</f>
        <v>0</v>
      </c>
      <c r="AP49" s="41">
        <f>H49*(1-0)</f>
        <v>0</v>
      </c>
      <c r="AQ49" s="42" t="s">
        <v>12</v>
      </c>
      <c r="AV49" s="41">
        <f t="shared" si="39"/>
        <v>0</v>
      </c>
      <c r="AW49" s="41">
        <f t="shared" si="40"/>
        <v>0</v>
      </c>
      <c r="AX49" s="41">
        <f t="shared" si="41"/>
        <v>0</v>
      </c>
      <c r="AY49" s="44" t="s">
        <v>390</v>
      </c>
      <c r="AZ49" s="44" t="s">
        <v>410</v>
      </c>
      <c r="BA49" s="31" t="s">
        <v>416</v>
      </c>
      <c r="BC49" s="41">
        <f t="shared" si="42"/>
        <v>0</v>
      </c>
      <c r="BD49" s="41">
        <f t="shared" si="43"/>
        <v>0</v>
      </c>
      <c r="BE49" s="41">
        <v>0</v>
      </c>
      <c r="BF49" s="41">
        <f t="shared" si="44"/>
        <v>0.00392</v>
      </c>
      <c r="BH49" s="21">
        <f t="shared" si="45"/>
        <v>0</v>
      </c>
      <c r="BI49" s="21">
        <f t="shared" si="46"/>
        <v>0</v>
      </c>
      <c r="BJ49" s="21">
        <f t="shared" si="47"/>
        <v>0</v>
      </c>
      <c r="BK49" s="21" t="s">
        <v>421</v>
      </c>
      <c r="BL49" s="41">
        <v>722</v>
      </c>
    </row>
    <row r="50" spans="1:47" ht="12.75">
      <c r="A50" s="5"/>
      <c r="B50" s="14"/>
      <c r="C50" s="14" t="s">
        <v>138</v>
      </c>
      <c r="D50" s="139" t="s">
        <v>258</v>
      </c>
      <c r="E50" s="140"/>
      <c r="F50" s="19" t="s">
        <v>5</v>
      </c>
      <c r="G50" s="19" t="s">
        <v>5</v>
      </c>
      <c r="H50" s="19" t="s">
        <v>5</v>
      </c>
      <c r="I50" s="47">
        <f>SUM(I51:I58)</f>
        <v>0</v>
      </c>
      <c r="J50" s="47">
        <f>SUM(J51:J58)</f>
        <v>0</v>
      </c>
      <c r="K50" s="47">
        <f>SUM(K51:K58)</f>
        <v>0</v>
      </c>
      <c r="L50" s="31"/>
      <c r="M50" s="47">
        <f>SUM(M51:M58)</f>
        <v>0.16827</v>
      </c>
      <c r="N50" s="36"/>
      <c r="O50" s="39"/>
      <c r="AI50" s="31"/>
      <c r="AS50" s="47">
        <f>SUM(AJ51:AJ58)</f>
        <v>0</v>
      </c>
      <c r="AT50" s="47">
        <f>SUM(AK51:AK58)</f>
        <v>0</v>
      </c>
      <c r="AU50" s="47">
        <f>SUM(AL51:AL58)</f>
        <v>0</v>
      </c>
    </row>
    <row r="51" spans="1:64" ht="12.75">
      <c r="A51" s="4" t="s">
        <v>37</v>
      </c>
      <c r="B51" s="13"/>
      <c r="C51" s="13" t="s">
        <v>139</v>
      </c>
      <c r="D51" s="137" t="s">
        <v>259</v>
      </c>
      <c r="E51" s="138"/>
      <c r="F51" s="13" t="s">
        <v>347</v>
      </c>
      <c r="G51" s="21">
        <v>1</v>
      </c>
      <c r="H51" s="21">
        <v>0</v>
      </c>
      <c r="I51" s="21">
        <f aca="true" t="shared" si="48" ref="I51:I58">G51*AO51</f>
        <v>0</v>
      </c>
      <c r="J51" s="21">
        <f aca="true" t="shared" si="49" ref="J51:J58">G51*AP51</f>
        <v>0</v>
      </c>
      <c r="K51" s="21">
        <f aca="true" t="shared" si="50" ref="K51:K58">G51*H51</f>
        <v>0</v>
      </c>
      <c r="L51" s="21">
        <v>0.01933</v>
      </c>
      <c r="M51" s="21">
        <f aca="true" t="shared" si="51" ref="M51:M58">G51*L51</f>
        <v>0.01933</v>
      </c>
      <c r="N51" s="35" t="s">
        <v>372</v>
      </c>
      <c r="O51" s="39"/>
      <c r="Z51" s="41">
        <f aca="true" t="shared" si="52" ref="Z51:Z58">IF(AQ51="5",BJ51,0)</f>
        <v>0</v>
      </c>
      <c r="AB51" s="41">
        <f aca="true" t="shared" si="53" ref="AB51:AB58">IF(AQ51="1",BH51,0)</f>
        <v>0</v>
      </c>
      <c r="AC51" s="41">
        <f aca="true" t="shared" si="54" ref="AC51:AC58">IF(AQ51="1",BI51,0)</f>
        <v>0</v>
      </c>
      <c r="AD51" s="41">
        <f aca="true" t="shared" si="55" ref="AD51:AD58">IF(AQ51="7",BH51,0)</f>
        <v>0</v>
      </c>
      <c r="AE51" s="41">
        <f aca="true" t="shared" si="56" ref="AE51:AE58">IF(AQ51="7",BI51,0)</f>
        <v>0</v>
      </c>
      <c r="AF51" s="41">
        <f aca="true" t="shared" si="57" ref="AF51:AF58">IF(AQ51="2",BH51,0)</f>
        <v>0</v>
      </c>
      <c r="AG51" s="41">
        <f aca="true" t="shared" si="58" ref="AG51:AG58">IF(AQ51="2",BI51,0)</f>
        <v>0</v>
      </c>
      <c r="AH51" s="41">
        <f aca="true" t="shared" si="59" ref="AH51:AH58">IF(AQ51="0",BJ51,0)</f>
        <v>0</v>
      </c>
      <c r="AI51" s="31"/>
      <c r="AJ51" s="21">
        <f aca="true" t="shared" si="60" ref="AJ51:AJ58">IF(AN51=0,K51,0)</f>
        <v>0</v>
      </c>
      <c r="AK51" s="21">
        <f aca="true" t="shared" si="61" ref="AK51:AK58">IF(AN51=15,K51,0)</f>
        <v>0</v>
      </c>
      <c r="AL51" s="21">
        <f aca="true" t="shared" si="62" ref="AL51:AL58">IF(AN51=21,K51,0)</f>
        <v>0</v>
      </c>
      <c r="AN51" s="41">
        <v>15</v>
      </c>
      <c r="AO51" s="41">
        <f>H51*0</f>
        <v>0</v>
      </c>
      <c r="AP51" s="41">
        <f>H51*(1-0)</f>
        <v>0</v>
      </c>
      <c r="AQ51" s="42" t="s">
        <v>12</v>
      </c>
      <c r="AV51" s="41">
        <f aca="true" t="shared" si="63" ref="AV51:AV58">AW51+AX51</f>
        <v>0</v>
      </c>
      <c r="AW51" s="41">
        <f aca="true" t="shared" si="64" ref="AW51:AW58">G51*AO51</f>
        <v>0</v>
      </c>
      <c r="AX51" s="41">
        <f aca="true" t="shared" si="65" ref="AX51:AX58">G51*AP51</f>
        <v>0</v>
      </c>
      <c r="AY51" s="44" t="s">
        <v>391</v>
      </c>
      <c r="AZ51" s="44" t="s">
        <v>410</v>
      </c>
      <c r="BA51" s="31" t="s">
        <v>416</v>
      </c>
      <c r="BC51" s="41">
        <f aca="true" t="shared" si="66" ref="BC51:BC58">AW51+AX51</f>
        <v>0</v>
      </c>
      <c r="BD51" s="41">
        <f aca="true" t="shared" si="67" ref="BD51:BD58">H51/(100-BE51)*100</f>
        <v>0</v>
      </c>
      <c r="BE51" s="41">
        <v>0</v>
      </c>
      <c r="BF51" s="41">
        <f aca="true" t="shared" si="68" ref="BF51:BF58">M51</f>
        <v>0.01933</v>
      </c>
      <c r="BH51" s="21">
        <f aca="true" t="shared" si="69" ref="BH51:BH58">G51*AO51</f>
        <v>0</v>
      </c>
      <c r="BI51" s="21">
        <f aca="true" t="shared" si="70" ref="BI51:BI58">G51*AP51</f>
        <v>0</v>
      </c>
      <c r="BJ51" s="21">
        <f aca="true" t="shared" si="71" ref="BJ51:BJ58">G51*H51</f>
        <v>0</v>
      </c>
      <c r="BK51" s="21" t="s">
        <v>421</v>
      </c>
      <c r="BL51" s="41">
        <v>725</v>
      </c>
    </row>
    <row r="52" spans="1:64" ht="12.75">
      <c r="A52" s="4" t="s">
        <v>38</v>
      </c>
      <c r="B52" s="13"/>
      <c r="C52" s="13" t="s">
        <v>140</v>
      </c>
      <c r="D52" s="137" t="s">
        <v>260</v>
      </c>
      <c r="E52" s="138"/>
      <c r="F52" s="13" t="s">
        <v>344</v>
      </c>
      <c r="G52" s="21">
        <v>1</v>
      </c>
      <c r="H52" s="21">
        <v>0</v>
      </c>
      <c r="I52" s="21">
        <f t="shared" si="48"/>
        <v>0</v>
      </c>
      <c r="J52" s="21">
        <f t="shared" si="49"/>
        <v>0</v>
      </c>
      <c r="K52" s="21">
        <f t="shared" si="50"/>
        <v>0</v>
      </c>
      <c r="L52" s="21">
        <v>0.00275</v>
      </c>
      <c r="M52" s="21">
        <f t="shared" si="51"/>
        <v>0.00275</v>
      </c>
      <c r="N52" s="35" t="s">
        <v>372</v>
      </c>
      <c r="O52" s="39"/>
      <c r="Z52" s="41">
        <f t="shared" si="52"/>
        <v>0</v>
      </c>
      <c r="AB52" s="41">
        <f t="shared" si="53"/>
        <v>0</v>
      </c>
      <c r="AC52" s="41">
        <f t="shared" si="54"/>
        <v>0</v>
      </c>
      <c r="AD52" s="41">
        <f t="shared" si="55"/>
        <v>0</v>
      </c>
      <c r="AE52" s="41">
        <f t="shared" si="56"/>
        <v>0</v>
      </c>
      <c r="AF52" s="41">
        <f t="shared" si="57"/>
        <v>0</v>
      </c>
      <c r="AG52" s="41">
        <f t="shared" si="58"/>
        <v>0</v>
      </c>
      <c r="AH52" s="41">
        <f t="shared" si="59"/>
        <v>0</v>
      </c>
      <c r="AI52" s="31"/>
      <c r="AJ52" s="21">
        <f t="shared" si="60"/>
        <v>0</v>
      </c>
      <c r="AK52" s="21">
        <f t="shared" si="61"/>
        <v>0</v>
      </c>
      <c r="AL52" s="21">
        <f t="shared" si="62"/>
        <v>0</v>
      </c>
      <c r="AN52" s="41">
        <v>15</v>
      </c>
      <c r="AO52" s="41">
        <f>H52*0.944846292947559</f>
        <v>0</v>
      </c>
      <c r="AP52" s="41">
        <f>H52*(1-0.944846292947559)</f>
        <v>0</v>
      </c>
      <c r="AQ52" s="42" t="s">
        <v>12</v>
      </c>
      <c r="AV52" s="41">
        <f t="shared" si="63"/>
        <v>0</v>
      </c>
      <c r="AW52" s="41">
        <f t="shared" si="64"/>
        <v>0</v>
      </c>
      <c r="AX52" s="41">
        <f t="shared" si="65"/>
        <v>0</v>
      </c>
      <c r="AY52" s="44" t="s">
        <v>391</v>
      </c>
      <c r="AZ52" s="44" t="s">
        <v>410</v>
      </c>
      <c r="BA52" s="31" t="s">
        <v>416</v>
      </c>
      <c r="BC52" s="41">
        <f t="shared" si="66"/>
        <v>0</v>
      </c>
      <c r="BD52" s="41">
        <f t="shared" si="67"/>
        <v>0</v>
      </c>
      <c r="BE52" s="41">
        <v>0</v>
      </c>
      <c r="BF52" s="41">
        <f t="shared" si="68"/>
        <v>0.00275</v>
      </c>
      <c r="BH52" s="21">
        <f t="shared" si="69"/>
        <v>0</v>
      </c>
      <c r="BI52" s="21">
        <f t="shared" si="70"/>
        <v>0</v>
      </c>
      <c r="BJ52" s="21">
        <f t="shared" si="71"/>
        <v>0</v>
      </c>
      <c r="BK52" s="21" t="s">
        <v>421</v>
      </c>
      <c r="BL52" s="41">
        <v>725</v>
      </c>
    </row>
    <row r="53" spans="1:64" ht="12.75">
      <c r="A53" s="4" t="s">
        <v>39</v>
      </c>
      <c r="B53" s="13"/>
      <c r="C53" s="13" t="s">
        <v>141</v>
      </c>
      <c r="D53" s="137" t="s">
        <v>261</v>
      </c>
      <c r="E53" s="138"/>
      <c r="F53" s="13" t="s">
        <v>344</v>
      </c>
      <c r="G53" s="21">
        <v>1</v>
      </c>
      <c r="H53" s="21">
        <v>0</v>
      </c>
      <c r="I53" s="21">
        <f t="shared" si="48"/>
        <v>0</v>
      </c>
      <c r="J53" s="21">
        <f t="shared" si="49"/>
        <v>0</v>
      </c>
      <c r="K53" s="21">
        <f t="shared" si="50"/>
        <v>0</v>
      </c>
      <c r="L53" s="21">
        <v>0</v>
      </c>
      <c r="M53" s="21">
        <f t="shared" si="51"/>
        <v>0</v>
      </c>
      <c r="N53" s="35" t="s">
        <v>372</v>
      </c>
      <c r="O53" s="39"/>
      <c r="Z53" s="41">
        <f t="shared" si="52"/>
        <v>0</v>
      </c>
      <c r="AB53" s="41">
        <f t="shared" si="53"/>
        <v>0</v>
      </c>
      <c r="AC53" s="41">
        <f t="shared" si="54"/>
        <v>0</v>
      </c>
      <c r="AD53" s="41">
        <f t="shared" si="55"/>
        <v>0</v>
      </c>
      <c r="AE53" s="41">
        <f t="shared" si="56"/>
        <v>0</v>
      </c>
      <c r="AF53" s="41">
        <f t="shared" si="57"/>
        <v>0</v>
      </c>
      <c r="AG53" s="41">
        <f t="shared" si="58"/>
        <v>0</v>
      </c>
      <c r="AH53" s="41">
        <f t="shared" si="59"/>
        <v>0</v>
      </c>
      <c r="AI53" s="31"/>
      <c r="AJ53" s="21">
        <f t="shared" si="60"/>
        <v>0</v>
      </c>
      <c r="AK53" s="21">
        <f t="shared" si="61"/>
        <v>0</v>
      </c>
      <c r="AL53" s="21">
        <f t="shared" si="62"/>
        <v>0</v>
      </c>
      <c r="AN53" s="41">
        <v>15</v>
      </c>
      <c r="AO53" s="41">
        <f>H53*0</f>
        <v>0</v>
      </c>
      <c r="AP53" s="41">
        <f>H53*(1-0)</f>
        <v>0</v>
      </c>
      <c r="AQ53" s="42" t="s">
        <v>12</v>
      </c>
      <c r="AV53" s="41">
        <f t="shared" si="63"/>
        <v>0</v>
      </c>
      <c r="AW53" s="41">
        <f t="shared" si="64"/>
        <v>0</v>
      </c>
      <c r="AX53" s="41">
        <f t="shared" si="65"/>
        <v>0</v>
      </c>
      <c r="AY53" s="44" t="s">
        <v>391</v>
      </c>
      <c r="AZ53" s="44" t="s">
        <v>410</v>
      </c>
      <c r="BA53" s="31" t="s">
        <v>416</v>
      </c>
      <c r="BC53" s="41">
        <f t="shared" si="66"/>
        <v>0</v>
      </c>
      <c r="BD53" s="41">
        <f t="shared" si="67"/>
        <v>0</v>
      </c>
      <c r="BE53" s="41">
        <v>0</v>
      </c>
      <c r="BF53" s="41">
        <f t="shared" si="68"/>
        <v>0</v>
      </c>
      <c r="BH53" s="21">
        <f t="shared" si="69"/>
        <v>0</v>
      </c>
      <c r="BI53" s="21">
        <f t="shared" si="70"/>
        <v>0</v>
      </c>
      <c r="BJ53" s="21">
        <f t="shared" si="71"/>
        <v>0</v>
      </c>
      <c r="BK53" s="21" t="s">
        <v>421</v>
      </c>
      <c r="BL53" s="41">
        <v>725</v>
      </c>
    </row>
    <row r="54" spans="1:64" ht="12.75">
      <c r="A54" s="4" t="s">
        <v>40</v>
      </c>
      <c r="B54" s="13"/>
      <c r="C54" s="13" t="s">
        <v>142</v>
      </c>
      <c r="D54" s="137" t="s">
        <v>262</v>
      </c>
      <c r="E54" s="138"/>
      <c r="F54" s="13" t="s">
        <v>347</v>
      </c>
      <c r="G54" s="21">
        <v>1</v>
      </c>
      <c r="H54" s="21">
        <v>0</v>
      </c>
      <c r="I54" s="21">
        <f t="shared" si="48"/>
        <v>0</v>
      </c>
      <c r="J54" s="21">
        <f t="shared" si="49"/>
        <v>0</v>
      </c>
      <c r="K54" s="21">
        <f t="shared" si="50"/>
        <v>0</v>
      </c>
      <c r="L54" s="21">
        <v>0.00089</v>
      </c>
      <c r="M54" s="21">
        <f t="shared" si="51"/>
        <v>0.00089</v>
      </c>
      <c r="N54" s="35" t="s">
        <v>372</v>
      </c>
      <c r="O54" s="39"/>
      <c r="Z54" s="41">
        <f t="shared" si="52"/>
        <v>0</v>
      </c>
      <c r="AB54" s="41">
        <f t="shared" si="53"/>
        <v>0</v>
      </c>
      <c r="AC54" s="41">
        <f t="shared" si="54"/>
        <v>0</v>
      </c>
      <c r="AD54" s="41">
        <f t="shared" si="55"/>
        <v>0</v>
      </c>
      <c r="AE54" s="41">
        <f t="shared" si="56"/>
        <v>0</v>
      </c>
      <c r="AF54" s="41">
        <f t="shared" si="57"/>
        <v>0</v>
      </c>
      <c r="AG54" s="41">
        <f t="shared" si="58"/>
        <v>0</v>
      </c>
      <c r="AH54" s="41">
        <f t="shared" si="59"/>
        <v>0</v>
      </c>
      <c r="AI54" s="31"/>
      <c r="AJ54" s="21">
        <f t="shared" si="60"/>
        <v>0</v>
      </c>
      <c r="AK54" s="21">
        <f t="shared" si="61"/>
        <v>0</v>
      </c>
      <c r="AL54" s="21">
        <f t="shared" si="62"/>
        <v>0</v>
      </c>
      <c r="AN54" s="41">
        <v>15</v>
      </c>
      <c r="AO54" s="41">
        <f>H54*0.231932245922208</f>
        <v>0</v>
      </c>
      <c r="AP54" s="41">
        <f>H54*(1-0.231932245922208)</f>
        <v>0</v>
      </c>
      <c r="AQ54" s="42" t="s">
        <v>12</v>
      </c>
      <c r="AV54" s="41">
        <f t="shared" si="63"/>
        <v>0</v>
      </c>
      <c r="AW54" s="41">
        <f t="shared" si="64"/>
        <v>0</v>
      </c>
      <c r="AX54" s="41">
        <f t="shared" si="65"/>
        <v>0</v>
      </c>
      <c r="AY54" s="44" t="s">
        <v>391</v>
      </c>
      <c r="AZ54" s="44" t="s">
        <v>410</v>
      </c>
      <c r="BA54" s="31" t="s">
        <v>416</v>
      </c>
      <c r="BC54" s="41">
        <f t="shared" si="66"/>
        <v>0</v>
      </c>
      <c r="BD54" s="41">
        <f t="shared" si="67"/>
        <v>0</v>
      </c>
      <c r="BE54" s="41">
        <v>0</v>
      </c>
      <c r="BF54" s="41">
        <f t="shared" si="68"/>
        <v>0.00089</v>
      </c>
      <c r="BH54" s="21">
        <f t="shared" si="69"/>
        <v>0</v>
      </c>
      <c r="BI54" s="21">
        <f t="shared" si="70"/>
        <v>0</v>
      </c>
      <c r="BJ54" s="21">
        <f t="shared" si="71"/>
        <v>0</v>
      </c>
      <c r="BK54" s="21" t="s">
        <v>421</v>
      </c>
      <c r="BL54" s="41">
        <v>725</v>
      </c>
    </row>
    <row r="55" spans="1:64" ht="12.75">
      <c r="A55" s="4" t="s">
        <v>41</v>
      </c>
      <c r="B55" s="13"/>
      <c r="C55" s="13" t="s">
        <v>143</v>
      </c>
      <c r="D55" s="137" t="s">
        <v>263</v>
      </c>
      <c r="E55" s="138"/>
      <c r="F55" s="13" t="s">
        <v>347</v>
      </c>
      <c r="G55" s="21">
        <v>1</v>
      </c>
      <c r="H55" s="21">
        <v>0</v>
      </c>
      <c r="I55" s="21">
        <f t="shared" si="48"/>
        <v>0</v>
      </c>
      <c r="J55" s="21">
        <f t="shared" si="49"/>
        <v>0</v>
      </c>
      <c r="K55" s="21">
        <f t="shared" si="50"/>
        <v>0</v>
      </c>
      <c r="L55" s="21">
        <v>0</v>
      </c>
      <c r="M55" s="21">
        <f t="shared" si="51"/>
        <v>0</v>
      </c>
      <c r="N55" s="35" t="s">
        <v>372</v>
      </c>
      <c r="O55" s="39"/>
      <c r="Z55" s="41">
        <f t="shared" si="52"/>
        <v>0</v>
      </c>
      <c r="AB55" s="41">
        <f t="shared" si="53"/>
        <v>0</v>
      </c>
      <c r="AC55" s="41">
        <f t="shared" si="54"/>
        <v>0</v>
      </c>
      <c r="AD55" s="41">
        <f t="shared" si="55"/>
        <v>0</v>
      </c>
      <c r="AE55" s="41">
        <f t="shared" si="56"/>
        <v>0</v>
      </c>
      <c r="AF55" s="41">
        <f t="shared" si="57"/>
        <v>0</v>
      </c>
      <c r="AG55" s="41">
        <f t="shared" si="58"/>
        <v>0</v>
      </c>
      <c r="AH55" s="41">
        <f t="shared" si="59"/>
        <v>0</v>
      </c>
      <c r="AI55" s="31"/>
      <c r="AJ55" s="21">
        <f t="shared" si="60"/>
        <v>0</v>
      </c>
      <c r="AK55" s="21">
        <f t="shared" si="61"/>
        <v>0</v>
      </c>
      <c r="AL55" s="21">
        <f t="shared" si="62"/>
        <v>0</v>
      </c>
      <c r="AN55" s="41">
        <v>15</v>
      </c>
      <c r="AO55" s="41">
        <f>H55*0</f>
        <v>0</v>
      </c>
      <c r="AP55" s="41">
        <f>H55*(1-0)</f>
        <v>0</v>
      </c>
      <c r="AQ55" s="42" t="s">
        <v>12</v>
      </c>
      <c r="AV55" s="41">
        <f t="shared" si="63"/>
        <v>0</v>
      </c>
      <c r="AW55" s="41">
        <f t="shared" si="64"/>
        <v>0</v>
      </c>
      <c r="AX55" s="41">
        <f t="shared" si="65"/>
        <v>0</v>
      </c>
      <c r="AY55" s="44" t="s">
        <v>391</v>
      </c>
      <c r="AZ55" s="44" t="s">
        <v>410</v>
      </c>
      <c r="BA55" s="31" t="s">
        <v>416</v>
      </c>
      <c r="BC55" s="41">
        <f t="shared" si="66"/>
        <v>0</v>
      </c>
      <c r="BD55" s="41">
        <f t="shared" si="67"/>
        <v>0</v>
      </c>
      <c r="BE55" s="41">
        <v>0</v>
      </c>
      <c r="BF55" s="41">
        <f t="shared" si="68"/>
        <v>0</v>
      </c>
      <c r="BH55" s="21">
        <f t="shared" si="69"/>
        <v>0</v>
      </c>
      <c r="BI55" s="21">
        <f t="shared" si="70"/>
        <v>0</v>
      </c>
      <c r="BJ55" s="21">
        <f t="shared" si="71"/>
        <v>0</v>
      </c>
      <c r="BK55" s="21" t="s">
        <v>421</v>
      </c>
      <c r="BL55" s="41">
        <v>725</v>
      </c>
    </row>
    <row r="56" spans="1:64" ht="12.75">
      <c r="A56" s="4" t="s">
        <v>42</v>
      </c>
      <c r="B56" s="13"/>
      <c r="C56" s="13" t="s">
        <v>144</v>
      </c>
      <c r="D56" s="137" t="s">
        <v>264</v>
      </c>
      <c r="E56" s="138"/>
      <c r="F56" s="13" t="s">
        <v>347</v>
      </c>
      <c r="G56" s="21">
        <v>1</v>
      </c>
      <c r="H56" s="21">
        <v>0</v>
      </c>
      <c r="I56" s="21">
        <f t="shared" si="48"/>
        <v>0</v>
      </c>
      <c r="J56" s="21">
        <f t="shared" si="49"/>
        <v>0</v>
      </c>
      <c r="K56" s="21">
        <f t="shared" si="50"/>
        <v>0</v>
      </c>
      <c r="L56" s="21">
        <v>0.01946</v>
      </c>
      <c r="M56" s="21">
        <f t="shared" si="51"/>
        <v>0.01946</v>
      </c>
      <c r="N56" s="35" t="s">
        <v>372</v>
      </c>
      <c r="O56" s="39"/>
      <c r="Z56" s="41">
        <f t="shared" si="52"/>
        <v>0</v>
      </c>
      <c r="AB56" s="41">
        <f t="shared" si="53"/>
        <v>0</v>
      </c>
      <c r="AC56" s="41">
        <f t="shared" si="54"/>
        <v>0</v>
      </c>
      <c r="AD56" s="41">
        <f t="shared" si="55"/>
        <v>0</v>
      </c>
      <c r="AE56" s="41">
        <f t="shared" si="56"/>
        <v>0</v>
      </c>
      <c r="AF56" s="41">
        <f t="shared" si="57"/>
        <v>0</v>
      </c>
      <c r="AG56" s="41">
        <f t="shared" si="58"/>
        <v>0</v>
      </c>
      <c r="AH56" s="41">
        <f t="shared" si="59"/>
        <v>0</v>
      </c>
      <c r="AI56" s="31"/>
      <c r="AJ56" s="21">
        <f t="shared" si="60"/>
        <v>0</v>
      </c>
      <c r="AK56" s="21">
        <f t="shared" si="61"/>
        <v>0</v>
      </c>
      <c r="AL56" s="21">
        <f t="shared" si="62"/>
        <v>0</v>
      </c>
      <c r="AN56" s="41">
        <v>15</v>
      </c>
      <c r="AO56" s="41">
        <f>H56*0</f>
        <v>0</v>
      </c>
      <c r="AP56" s="41">
        <f>H56*(1-0)</f>
        <v>0</v>
      </c>
      <c r="AQ56" s="42" t="s">
        <v>12</v>
      </c>
      <c r="AV56" s="41">
        <f t="shared" si="63"/>
        <v>0</v>
      </c>
      <c r="AW56" s="41">
        <f t="shared" si="64"/>
        <v>0</v>
      </c>
      <c r="AX56" s="41">
        <f t="shared" si="65"/>
        <v>0</v>
      </c>
      <c r="AY56" s="44" t="s">
        <v>391</v>
      </c>
      <c r="AZ56" s="44" t="s">
        <v>410</v>
      </c>
      <c r="BA56" s="31" t="s">
        <v>416</v>
      </c>
      <c r="BC56" s="41">
        <f t="shared" si="66"/>
        <v>0</v>
      </c>
      <c r="BD56" s="41">
        <f t="shared" si="67"/>
        <v>0</v>
      </c>
      <c r="BE56" s="41">
        <v>0</v>
      </c>
      <c r="BF56" s="41">
        <f t="shared" si="68"/>
        <v>0.01946</v>
      </c>
      <c r="BH56" s="21">
        <f t="shared" si="69"/>
        <v>0</v>
      </c>
      <c r="BI56" s="21">
        <f t="shared" si="70"/>
        <v>0</v>
      </c>
      <c r="BJ56" s="21">
        <f t="shared" si="71"/>
        <v>0</v>
      </c>
      <c r="BK56" s="21" t="s">
        <v>421</v>
      </c>
      <c r="BL56" s="41">
        <v>725</v>
      </c>
    </row>
    <row r="57" spans="1:64" ht="12.75">
      <c r="A57" s="4" t="s">
        <v>43</v>
      </c>
      <c r="B57" s="13"/>
      <c r="C57" s="13" t="s">
        <v>145</v>
      </c>
      <c r="D57" s="137" t="s">
        <v>265</v>
      </c>
      <c r="E57" s="138"/>
      <c r="F57" s="13" t="s">
        <v>347</v>
      </c>
      <c r="G57" s="21">
        <v>1</v>
      </c>
      <c r="H57" s="21">
        <v>0</v>
      </c>
      <c r="I57" s="21">
        <f t="shared" si="48"/>
        <v>0</v>
      </c>
      <c r="J57" s="21">
        <f t="shared" si="49"/>
        <v>0</v>
      </c>
      <c r="K57" s="21">
        <f t="shared" si="50"/>
        <v>0</v>
      </c>
      <c r="L57" s="21">
        <v>0.00084</v>
      </c>
      <c r="M57" s="21">
        <f t="shared" si="51"/>
        <v>0.00084</v>
      </c>
      <c r="N57" s="35" t="s">
        <v>372</v>
      </c>
      <c r="O57" s="39"/>
      <c r="Z57" s="41">
        <f t="shared" si="52"/>
        <v>0</v>
      </c>
      <c r="AB57" s="41">
        <f t="shared" si="53"/>
        <v>0</v>
      </c>
      <c r="AC57" s="41">
        <f t="shared" si="54"/>
        <v>0</v>
      </c>
      <c r="AD57" s="41">
        <f t="shared" si="55"/>
        <v>0</v>
      </c>
      <c r="AE57" s="41">
        <f t="shared" si="56"/>
        <v>0</v>
      </c>
      <c r="AF57" s="41">
        <f t="shared" si="57"/>
        <v>0</v>
      </c>
      <c r="AG57" s="41">
        <f t="shared" si="58"/>
        <v>0</v>
      </c>
      <c r="AH57" s="41">
        <f t="shared" si="59"/>
        <v>0</v>
      </c>
      <c r="AI57" s="31"/>
      <c r="AJ57" s="21">
        <f t="shared" si="60"/>
        <v>0</v>
      </c>
      <c r="AK57" s="21">
        <f t="shared" si="61"/>
        <v>0</v>
      </c>
      <c r="AL57" s="21">
        <f t="shared" si="62"/>
        <v>0</v>
      </c>
      <c r="AN57" s="41">
        <v>15</v>
      </c>
      <c r="AO57" s="41">
        <f>H57*0.405808144949623</f>
        <v>0</v>
      </c>
      <c r="AP57" s="41">
        <f>H57*(1-0.405808144949623)</f>
        <v>0</v>
      </c>
      <c r="AQ57" s="42" t="s">
        <v>12</v>
      </c>
      <c r="AV57" s="41">
        <f t="shared" si="63"/>
        <v>0</v>
      </c>
      <c r="AW57" s="41">
        <f t="shared" si="64"/>
        <v>0</v>
      </c>
      <c r="AX57" s="41">
        <f t="shared" si="65"/>
        <v>0</v>
      </c>
      <c r="AY57" s="44" t="s">
        <v>391</v>
      </c>
      <c r="AZ57" s="44" t="s">
        <v>410</v>
      </c>
      <c r="BA57" s="31" t="s">
        <v>416</v>
      </c>
      <c r="BC57" s="41">
        <f t="shared" si="66"/>
        <v>0</v>
      </c>
      <c r="BD57" s="41">
        <f t="shared" si="67"/>
        <v>0</v>
      </c>
      <c r="BE57" s="41">
        <v>0</v>
      </c>
      <c r="BF57" s="41">
        <f t="shared" si="68"/>
        <v>0.00084</v>
      </c>
      <c r="BH57" s="21">
        <f t="shared" si="69"/>
        <v>0</v>
      </c>
      <c r="BI57" s="21">
        <f t="shared" si="70"/>
        <v>0</v>
      </c>
      <c r="BJ57" s="21">
        <f t="shared" si="71"/>
        <v>0</v>
      </c>
      <c r="BK57" s="21" t="s">
        <v>421</v>
      </c>
      <c r="BL57" s="41">
        <v>725</v>
      </c>
    </row>
    <row r="58" spans="1:64" ht="12.75">
      <c r="A58" s="4" t="s">
        <v>44</v>
      </c>
      <c r="B58" s="13"/>
      <c r="C58" s="13" t="s">
        <v>146</v>
      </c>
      <c r="D58" s="137" t="s">
        <v>266</v>
      </c>
      <c r="E58" s="138"/>
      <c r="F58" s="13" t="s">
        <v>347</v>
      </c>
      <c r="G58" s="21">
        <v>1</v>
      </c>
      <c r="H58" s="21">
        <v>0</v>
      </c>
      <c r="I58" s="21">
        <f t="shared" si="48"/>
        <v>0</v>
      </c>
      <c r="J58" s="21">
        <f t="shared" si="49"/>
        <v>0</v>
      </c>
      <c r="K58" s="21">
        <f t="shared" si="50"/>
        <v>0</v>
      </c>
      <c r="L58" s="21">
        <v>0.125</v>
      </c>
      <c r="M58" s="21">
        <f t="shared" si="51"/>
        <v>0.125</v>
      </c>
      <c r="N58" s="35" t="s">
        <v>372</v>
      </c>
      <c r="O58" s="39"/>
      <c r="Z58" s="41">
        <f t="shared" si="52"/>
        <v>0</v>
      </c>
      <c r="AB58" s="41">
        <f t="shared" si="53"/>
        <v>0</v>
      </c>
      <c r="AC58" s="41">
        <f t="shared" si="54"/>
        <v>0</v>
      </c>
      <c r="AD58" s="41">
        <f t="shared" si="55"/>
        <v>0</v>
      </c>
      <c r="AE58" s="41">
        <f t="shared" si="56"/>
        <v>0</v>
      </c>
      <c r="AF58" s="41">
        <f t="shared" si="57"/>
        <v>0</v>
      </c>
      <c r="AG58" s="41">
        <f t="shared" si="58"/>
        <v>0</v>
      </c>
      <c r="AH58" s="41">
        <f t="shared" si="59"/>
        <v>0</v>
      </c>
      <c r="AI58" s="31"/>
      <c r="AJ58" s="21">
        <f t="shared" si="60"/>
        <v>0</v>
      </c>
      <c r="AK58" s="21">
        <f t="shared" si="61"/>
        <v>0</v>
      </c>
      <c r="AL58" s="21">
        <f t="shared" si="62"/>
        <v>0</v>
      </c>
      <c r="AN58" s="41">
        <v>15</v>
      </c>
      <c r="AO58" s="41">
        <f>H58*0</f>
        <v>0</v>
      </c>
      <c r="AP58" s="41">
        <f>H58*(1-0)</f>
        <v>0</v>
      </c>
      <c r="AQ58" s="42" t="s">
        <v>12</v>
      </c>
      <c r="AV58" s="41">
        <f t="shared" si="63"/>
        <v>0</v>
      </c>
      <c r="AW58" s="41">
        <f t="shared" si="64"/>
        <v>0</v>
      </c>
      <c r="AX58" s="41">
        <f t="shared" si="65"/>
        <v>0</v>
      </c>
      <c r="AY58" s="44" t="s">
        <v>391</v>
      </c>
      <c r="AZ58" s="44" t="s">
        <v>410</v>
      </c>
      <c r="BA58" s="31" t="s">
        <v>416</v>
      </c>
      <c r="BC58" s="41">
        <f t="shared" si="66"/>
        <v>0</v>
      </c>
      <c r="BD58" s="41">
        <f t="shared" si="67"/>
        <v>0</v>
      </c>
      <c r="BE58" s="41">
        <v>0</v>
      </c>
      <c r="BF58" s="41">
        <f t="shared" si="68"/>
        <v>0.125</v>
      </c>
      <c r="BH58" s="21">
        <f t="shared" si="69"/>
        <v>0</v>
      </c>
      <c r="BI58" s="21">
        <f t="shared" si="70"/>
        <v>0</v>
      </c>
      <c r="BJ58" s="21">
        <f t="shared" si="71"/>
        <v>0</v>
      </c>
      <c r="BK58" s="21" t="s">
        <v>421</v>
      </c>
      <c r="BL58" s="41">
        <v>725</v>
      </c>
    </row>
    <row r="59" spans="1:47" ht="12.75">
      <c r="A59" s="5"/>
      <c r="B59" s="14"/>
      <c r="C59" s="14" t="s">
        <v>147</v>
      </c>
      <c r="D59" s="139" t="s">
        <v>267</v>
      </c>
      <c r="E59" s="140"/>
      <c r="F59" s="19" t="s">
        <v>5</v>
      </c>
      <c r="G59" s="19" t="s">
        <v>5</v>
      </c>
      <c r="H59" s="19" t="s">
        <v>5</v>
      </c>
      <c r="I59" s="47">
        <f>SUM(I60:I60)</f>
        <v>0</v>
      </c>
      <c r="J59" s="47">
        <f>SUM(J60:J60)</f>
        <v>0</v>
      </c>
      <c r="K59" s="47">
        <f>SUM(K60:K60)</f>
        <v>0</v>
      </c>
      <c r="L59" s="31"/>
      <c r="M59" s="47">
        <f>SUM(M60:M60)</f>
        <v>0.009</v>
      </c>
      <c r="N59" s="36"/>
      <c r="O59" s="39"/>
      <c r="AI59" s="31"/>
      <c r="AS59" s="47">
        <f>SUM(AJ60:AJ60)</f>
        <v>0</v>
      </c>
      <c r="AT59" s="47">
        <f>SUM(AK60:AK60)</f>
        <v>0</v>
      </c>
      <c r="AU59" s="47">
        <f>SUM(AL60:AL60)</f>
        <v>0</v>
      </c>
    </row>
    <row r="60" spans="1:64" ht="12.75">
      <c r="A60" s="4" t="s">
        <v>45</v>
      </c>
      <c r="B60" s="13"/>
      <c r="C60" s="13" t="s">
        <v>148</v>
      </c>
      <c r="D60" s="137" t="s">
        <v>268</v>
      </c>
      <c r="E60" s="138"/>
      <c r="F60" s="13" t="s">
        <v>347</v>
      </c>
      <c r="G60" s="21">
        <v>1</v>
      </c>
      <c r="H60" s="21">
        <v>0</v>
      </c>
      <c r="I60" s="21">
        <f>G60*AO60</f>
        <v>0</v>
      </c>
      <c r="J60" s="21">
        <f>G60*AP60</f>
        <v>0</v>
      </c>
      <c r="K60" s="21">
        <f>G60*H60</f>
        <v>0</v>
      </c>
      <c r="L60" s="21">
        <v>0.009</v>
      </c>
      <c r="M60" s="21">
        <f>G60*L60</f>
        <v>0.009</v>
      </c>
      <c r="N60" s="35" t="s">
        <v>372</v>
      </c>
      <c r="O60" s="39"/>
      <c r="Z60" s="41">
        <f>IF(AQ60="5",BJ60,0)</f>
        <v>0</v>
      </c>
      <c r="AB60" s="41">
        <f>IF(AQ60="1",BH60,0)</f>
        <v>0</v>
      </c>
      <c r="AC60" s="41">
        <f>IF(AQ60="1",BI60,0)</f>
        <v>0</v>
      </c>
      <c r="AD60" s="41">
        <f>IF(AQ60="7",BH60,0)</f>
        <v>0</v>
      </c>
      <c r="AE60" s="41">
        <f>IF(AQ60="7",BI60,0)</f>
        <v>0</v>
      </c>
      <c r="AF60" s="41">
        <f>IF(AQ60="2",BH60,0)</f>
        <v>0</v>
      </c>
      <c r="AG60" s="41">
        <f>IF(AQ60="2",BI60,0)</f>
        <v>0</v>
      </c>
      <c r="AH60" s="41">
        <f>IF(AQ60="0",BJ60,0)</f>
        <v>0</v>
      </c>
      <c r="AI60" s="31"/>
      <c r="AJ60" s="21">
        <f>IF(AN60=0,K60,0)</f>
        <v>0</v>
      </c>
      <c r="AK60" s="21">
        <f>IF(AN60=15,K60,0)</f>
        <v>0</v>
      </c>
      <c r="AL60" s="21">
        <f>IF(AN60=21,K60,0)</f>
        <v>0</v>
      </c>
      <c r="AN60" s="41">
        <v>15</v>
      </c>
      <c r="AO60" s="41">
        <f>H60*0.87856481929042</f>
        <v>0</v>
      </c>
      <c r="AP60" s="41">
        <f>H60*(1-0.87856481929042)</f>
        <v>0</v>
      </c>
      <c r="AQ60" s="42" t="s">
        <v>12</v>
      </c>
      <c r="AV60" s="41">
        <f>AW60+AX60</f>
        <v>0</v>
      </c>
      <c r="AW60" s="41">
        <f>G60*AO60</f>
        <v>0</v>
      </c>
      <c r="AX60" s="41">
        <f>G60*AP60</f>
        <v>0</v>
      </c>
      <c r="AY60" s="44" t="s">
        <v>392</v>
      </c>
      <c r="AZ60" s="44" t="s">
        <v>410</v>
      </c>
      <c r="BA60" s="31" t="s">
        <v>416</v>
      </c>
      <c r="BC60" s="41">
        <f>AW60+AX60</f>
        <v>0</v>
      </c>
      <c r="BD60" s="41">
        <f>H60/(100-BE60)*100</f>
        <v>0</v>
      </c>
      <c r="BE60" s="41">
        <v>0</v>
      </c>
      <c r="BF60" s="41">
        <f>M60</f>
        <v>0.009</v>
      </c>
      <c r="BH60" s="21">
        <f>G60*AO60</f>
        <v>0</v>
      </c>
      <c r="BI60" s="21">
        <f>G60*AP60</f>
        <v>0</v>
      </c>
      <c r="BJ60" s="21">
        <f>G60*H60</f>
        <v>0</v>
      </c>
      <c r="BK60" s="21" t="s">
        <v>421</v>
      </c>
      <c r="BL60" s="41">
        <v>726</v>
      </c>
    </row>
    <row r="61" spans="1:47" ht="12.75">
      <c r="A61" s="5"/>
      <c r="B61" s="14"/>
      <c r="C61" s="14" t="s">
        <v>149</v>
      </c>
      <c r="D61" s="139" t="s">
        <v>269</v>
      </c>
      <c r="E61" s="140"/>
      <c r="F61" s="19" t="s">
        <v>5</v>
      </c>
      <c r="G61" s="19" t="s">
        <v>5</v>
      </c>
      <c r="H61" s="19" t="s">
        <v>5</v>
      </c>
      <c r="I61" s="47">
        <f>SUM(I62:I66)</f>
        <v>0</v>
      </c>
      <c r="J61" s="47">
        <f>SUM(J62:J66)</f>
        <v>0</v>
      </c>
      <c r="K61" s="47">
        <f>SUM(K62:K66)</f>
        <v>0</v>
      </c>
      <c r="L61" s="31"/>
      <c r="M61" s="47">
        <f>SUM(M62:M66)</f>
        <v>0.0144</v>
      </c>
      <c r="N61" s="36"/>
      <c r="O61" s="39"/>
      <c r="AI61" s="31"/>
      <c r="AS61" s="47">
        <f>SUM(AJ62:AJ66)</f>
        <v>0</v>
      </c>
      <c r="AT61" s="47">
        <f>SUM(AK62:AK66)</f>
        <v>0</v>
      </c>
      <c r="AU61" s="47">
        <f>SUM(AL62:AL66)</f>
        <v>0</v>
      </c>
    </row>
    <row r="62" spans="1:64" ht="12.75">
      <c r="A62" s="4" t="s">
        <v>46</v>
      </c>
      <c r="B62" s="13"/>
      <c r="C62" s="13" t="s">
        <v>150</v>
      </c>
      <c r="D62" s="137" t="s">
        <v>270</v>
      </c>
      <c r="E62" s="138"/>
      <c r="F62" s="13" t="s">
        <v>344</v>
      </c>
      <c r="G62" s="21">
        <v>2</v>
      </c>
      <c r="H62" s="21">
        <v>0</v>
      </c>
      <c r="I62" s="21">
        <f>G62*AO62</f>
        <v>0</v>
      </c>
      <c r="J62" s="21">
        <f>G62*AP62</f>
        <v>0</v>
      </c>
      <c r="K62" s="21">
        <f>G62*H62</f>
        <v>0</v>
      </c>
      <c r="L62" s="21">
        <v>0</v>
      </c>
      <c r="M62" s="21">
        <f>G62*L62</f>
        <v>0</v>
      </c>
      <c r="N62" s="35" t="s">
        <v>372</v>
      </c>
      <c r="O62" s="39"/>
      <c r="Z62" s="41">
        <f>IF(AQ62="5",BJ62,0)</f>
        <v>0</v>
      </c>
      <c r="AB62" s="41">
        <f>IF(AQ62="1",BH62,0)</f>
        <v>0</v>
      </c>
      <c r="AC62" s="41">
        <f>IF(AQ62="1",BI62,0)</f>
        <v>0</v>
      </c>
      <c r="AD62" s="41">
        <f>IF(AQ62="7",BH62,0)</f>
        <v>0</v>
      </c>
      <c r="AE62" s="41">
        <f>IF(AQ62="7",BI62,0)</f>
        <v>0</v>
      </c>
      <c r="AF62" s="41">
        <f>IF(AQ62="2",BH62,0)</f>
        <v>0</v>
      </c>
      <c r="AG62" s="41">
        <f>IF(AQ62="2",BI62,0)</f>
        <v>0</v>
      </c>
      <c r="AH62" s="41">
        <f>IF(AQ62="0",BJ62,0)</f>
        <v>0</v>
      </c>
      <c r="AI62" s="31"/>
      <c r="AJ62" s="21">
        <f>IF(AN62=0,K62,0)</f>
        <v>0</v>
      </c>
      <c r="AK62" s="21">
        <f>IF(AN62=15,K62,0)</f>
        <v>0</v>
      </c>
      <c r="AL62" s="21">
        <f>IF(AN62=21,K62,0)</f>
        <v>0</v>
      </c>
      <c r="AN62" s="41">
        <v>15</v>
      </c>
      <c r="AO62" s="41">
        <f>H62*0</f>
        <v>0</v>
      </c>
      <c r="AP62" s="41">
        <f>H62*(1-0)</f>
        <v>0</v>
      </c>
      <c r="AQ62" s="42" t="s">
        <v>12</v>
      </c>
      <c r="AV62" s="41">
        <f>AW62+AX62</f>
        <v>0</v>
      </c>
      <c r="AW62" s="41">
        <f>G62*AO62</f>
        <v>0</v>
      </c>
      <c r="AX62" s="41">
        <f>G62*AP62</f>
        <v>0</v>
      </c>
      <c r="AY62" s="44" t="s">
        <v>393</v>
      </c>
      <c r="AZ62" s="44" t="s">
        <v>411</v>
      </c>
      <c r="BA62" s="31" t="s">
        <v>416</v>
      </c>
      <c r="BC62" s="41">
        <f>AW62+AX62</f>
        <v>0</v>
      </c>
      <c r="BD62" s="41">
        <f>H62/(100-BE62)*100</f>
        <v>0</v>
      </c>
      <c r="BE62" s="41">
        <v>0</v>
      </c>
      <c r="BF62" s="41">
        <f>M62</f>
        <v>0</v>
      </c>
      <c r="BH62" s="21">
        <f>G62*AO62</f>
        <v>0</v>
      </c>
      <c r="BI62" s="21">
        <f>G62*AP62</f>
        <v>0</v>
      </c>
      <c r="BJ62" s="21">
        <f>G62*H62</f>
        <v>0</v>
      </c>
      <c r="BK62" s="21" t="s">
        <v>421</v>
      </c>
      <c r="BL62" s="41">
        <v>766</v>
      </c>
    </row>
    <row r="63" spans="1:64" ht="12.75">
      <c r="A63" s="4" t="s">
        <v>47</v>
      </c>
      <c r="B63" s="13"/>
      <c r="C63" s="13" t="s">
        <v>151</v>
      </c>
      <c r="D63" s="137" t="s">
        <v>271</v>
      </c>
      <c r="E63" s="138"/>
      <c r="F63" s="13" t="s">
        <v>344</v>
      </c>
      <c r="G63" s="21">
        <v>3</v>
      </c>
      <c r="H63" s="21">
        <v>0</v>
      </c>
      <c r="I63" s="21">
        <f>G63*AO63</f>
        <v>0</v>
      </c>
      <c r="J63" s="21">
        <f>G63*AP63</f>
        <v>0</v>
      </c>
      <c r="K63" s="21">
        <f>G63*H63</f>
        <v>0</v>
      </c>
      <c r="L63" s="21">
        <v>0</v>
      </c>
      <c r="M63" s="21">
        <f>G63*L63</f>
        <v>0</v>
      </c>
      <c r="N63" s="35" t="s">
        <v>372</v>
      </c>
      <c r="O63" s="39"/>
      <c r="Z63" s="41">
        <f>IF(AQ63="5",BJ63,0)</f>
        <v>0</v>
      </c>
      <c r="AB63" s="41">
        <f>IF(AQ63="1",BH63,0)</f>
        <v>0</v>
      </c>
      <c r="AC63" s="41">
        <f>IF(AQ63="1",BI63,0)</f>
        <v>0</v>
      </c>
      <c r="AD63" s="41">
        <f>IF(AQ63="7",BH63,0)</f>
        <v>0</v>
      </c>
      <c r="AE63" s="41">
        <f>IF(AQ63="7",BI63,0)</f>
        <v>0</v>
      </c>
      <c r="AF63" s="41">
        <f>IF(AQ63="2",BH63,0)</f>
        <v>0</v>
      </c>
      <c r="AG63" s="41">
        <f>IF(AQ63="2",BI63,0)</f>
        <v>0</v>
      </c>
      <c r="AH63" s="41">
        <f>IF(AQ63="0",BJ63,0)</f>
        <v>0</v>
      </c>
      <c r="AI63" s="31"/>
      <c r="AJ63" s="21">
        <f>IF(AN63=0,K63,0)</f>
        <v>0</v>
      </c>
      <c r="AK63" s="21">
        <f>IF(AN63=15,K63,0)</f>
        <v>0</v>
      </c>
      <c r="AL63" s="21">
        <f>IF(AN63=21,K63,0)</f>
        <v>0</v>
      </c>
      <c r="AN63" s="41">
        <v>15</v>
      </c>
      <c r="AO63" s="41">
        <f>H63*0</f>
        <v>0</v>
      </c>
      <c r="AP63" s="41">
        <f>H63*(1-0)</f>
        <v>0</v>
      </c>
      <c r="AQ63" s="42" t="s">
        <v>12</v>
      </c>
      <c r="AV63" s="41">
        <f>AW63+AX63</f>
        <v>0</v>
      </c>
      <c r="AW63" s="41">
        <f>G63*AO63</f>
        <v>0</v>
      </c>
      <c r="AX63" s="41">
        <f>G63*AP63</f>
        <v>0</v>
      </c>
      <c r="AY63" s="44" t="s">
        <v>393</v>
      </c>
      <c r="AZ63" s="44" t="s">
        <v>411</v>
      </c>
      <c r="BA63" s="31" t="s">
        <v>416</v>
      </c>
      <c r="BC63" s="41">
        <f>AW63+AX63</f>
        <v>0</v>
      </c>
      <c r="BD63" s="41">
        <f>H63/(100-BE63)*100</f>
        <v>0</v>
      </c>
      <c r="BE63" s="41">
        <v>0</v>
      </c>
      <c r="BF63" s="41">
        <f>M63</f>
        <v>0</v>
      </c>
      <c r="BH63" s="21">
        <f>G63*AO63</f>
        <v>0</v>
      </c>
      <c r="BI63" s="21">
        <f>G63*AP63</f>
        <v>0</v>
      </c>
      <c r="BJ63" s="21">
        <f>G63*H63</f>
        <v>0</v>
      </c>
      <c r="BK63" s="21" t="s">
        <v>421</v>
      </c>
      <c r="BL63" s="41">
        <v>766</v>
      </c>
    </row>
    <row r="64" spans="1:64" ht="12.75">
      <c r="A64" s="4" t="s">
        <v>48</v>
      </c>
      <c r="B64" s="13"/>
      <c r="C64" s="13" t="s">
        <v>152</v>
      </c>
      <c r="D64" s="137" t="s">
        <v>272</v>
      </c>
      <c r="E64" s="138"/>
      <c r="F64" s="13" t="s">
        <v>344</v>
      </c>
      <c r="G64" s="21">
        <v>1</v>
      </c>
      <c r="H64" s="21">
        <v>0</v>
      </c>
      <c r="I64" s="21">
        <f>G64*AO64</f>
        <v>0</v>
      </c>
      <c r="J64" s="21">
        <f>G64*AP64</f>
        <v>0</v>
      </c>
      <c r="K64" s="21">
        <f>G64*H64</f>
        <v>0</v>
      </c>
      <c r="L64" s="21">
        <v>0</v>
      </c>
      <c r="M64" s="21">
        <f>G64*L64</f>
        <v>0</v>
      </c>
      <c r="N64" s="35" t="s">
        <v>372</v>
      </c>
      <c r="O64" s="39"/>
      <c r="Z64" s="41">
        <f>IF(AQ64="5",BJ64,0)</f>
        <v>0</v>
      </c>
      <c r="AB64" s="41">
        <f>IF(AQ64="1",BH64,0)</f>
        <v>0</v>
      </c>
      <c r="AC64" s="41">
        <f>IF(AQ64="1",BI64,0)</f>
        <v>0</v>
      </c>
      <c r="AD64" s="41">
        <f>IF(AQ64="7",BH64,0)</f>
        <v>0</v>
      </c>
      <c r="AE64" s="41">
        <f>IF(AQ64="7",BI64,0)</f>
        <v>0</v>
      </c>
      <c r="AF64" s="41">
        <f>IF(AQ64="2",BH64,0)</f>
        <v>0</v>
      </c>
      <c r="AG64" s="41">
        <f>IF(AQ64="2",BI64,0)</f>
        <v>0</v>
      </c>
      <c r="AH64" s="41">
        <f>IF(AQ64="0",BJ64,0)</f>
        <v>0</v>
      </c>
      <c r="AI64" s="31"/>
      <c r="AJ64" s="21">
        <f>IF(AN64=0,K64,0)</f>
        <v>0</v>
      </c>
      <c r="AK64" s="21">
        <f>IF(AN64=15,K64,0)</f>
        <v>0</v>
      </c>
      <c r="AL64" s="21">
        <f>IF(AN64=21,K64,0)</f>
        <v>0</v>
      </c>
      <c r="AN64" s="41">
        <v>15</v>
      </c>
      <c r="AO64" s="41">
        <f>H64*0</f>
        <v>0</v>
      </c>
      <c r="AP64" s="41">
        <f>H64*(1-0)</f>
        <v>0</v>
      </c>
      <c r="AQ64" s="42" t="s">
        <v>12</v>
      </c>
      <c r="AV64" s="41">
        <f>AW64+AX64</f>
        <v>0</v>
      </c>
      <c r="AW64" s="41">
        <f>G64*AO64</f>
        <v>0</v>
      </c>
      <c r="AX64" s="41">
        <f>G64*AP64</f>
        <v>0</v>
      </c>
      <c r="AY64" s="44" t="s">
        <v>393</v>
      </c>
      <c r="AZ64" s="44" t="s">
        <v>411</v>
      </c>
      <c r="BA64" s="31" t="s">
        <v>416</v>
      </c>
      <c r="BC64" s="41">
        <f>AW64+AX64</f>
        <v>0</v>
      </c>
      <c r="BD64" s="41">
        <f>H64/(100-BE64)*100</f>
        <v>0</v>
      </c>
      <c r="BE64" s="41">
        <v>0</v>
      </c>
      <c r="BF64" s="41">
        <f>M64</f>
        <v>0</v>
      </c>
      <c r="BH64" s="21">
        <f>G64*AO64</f>
        <v>0</v>
      </c>
      <c r="BI64" s="21">
        <f>G64*AP64</f>
        <v>0</v>
      </c>
      <c r="BJ64" s="21">
        <f>G64*H64</f>
        <v>0</v>
      </c>
      <c r="BK64" s="21" t="s">
        <v>421</v>
      </c>
      <c r="BL64" s="41">
        <v>766</v>
      </c>
    </row>
    <row r="65" spans="1:64" ht="12.75">
      <c r="A65" s="4" t="s">
        <v>49</v>
      </c>
      <c r="B65" s="13"/>
      <c r="C65" s="13" t="s">
        <v>153</v>
      </c>
      <c r="D65" s="137" t="s">
        <v>273</v>
      </c>
      <c r="E65" s="138"/>
      <c r="F65" s="13" t="s">
        <v>344</v>
      </c>
      <c r="G65" s="21">
        <v>8</v>
      </c>
      <c r="H65" s="21">
        <v>0</v>
      </c>
      <c r="I65" s="21">
        <f>G65*AO65</f>
        <v>0</v>
      </c>
      <c r="J65" s="21">
        <f>G65*AP65</f>
        <v>0</v>
      </c>
      <c r="K65" s="21">
        <f>G65*H65</f>
        <v>0</v>
      </c>
      <c r="L65" s="21">
        <v>0.0018</v>
      </c>
      <c r="M65" s="21">
        <f>G65*L65</f>
        <v>0.0144</v>
      </c>
      <c r="N65" s="35" t="s">
        <v>372</v>
      </c>
      <c r="O65" s="39"/>
      <c r="Z65" s="41">
        <f>IF(AQ65="5",BJ65,0)</f>
        <v>0</v>
      </c>
      <c r="AB65" s="41">
        <f>IF(AQ65="1",BH65,0)</f>
        <v>0</v>
      </c>
      <c r="AC65" s="41">
        <f>IF(AQ65="1",BI65,0)</f>
        <v>0</v>
      </c>
      <c r="AD65" s="41">
        <f>IF(AQ65="7",BH65,0)</f>
        <v>0</v>
      </c>
      <c r="AE65" s="41">
        <f>IF(AQ65="7",BI65,0)</f>
        <v>0</v>
      </c>
      <c r="AF65" s="41">
        <f>IF(AQ65="2",BH65,0)</f>
        <v>0</v>
      </c>
      <c r="AG65" s="41">
        <f>IF(AQ65="2",BI65,0)</f>
        <v>0</v>
      </c>
      <c r="AH65" s="41">
        <f>IF(AQ65="0",BJ65,0)</f>
        <v>0</v>
      </c>
      <c r="AI65" s="31"/>
      <c r="AJ65" s="21">
        <f>IF(AN65=0,K65,0)</f>
        <v>0</v>
      </c>
      <c r="AK65" s="21">
        <f>IF(AN65=15,K65,0)</f>
        <v>0</v>
      </c>
      <c r="AL65" s="21">
        <f>IF(AN65=21,K65,0)</f>
        <v>0</v>
      </c>
      <c r="AN65" s="41">
        <v>15</v>
      </c>
      <c r="AO65" s="41">
        <f>H65*0</f>
        <v>0</v>
      </c>
      <c r="AP65" s="41">
        <f>H65*(1-0)</f>
        <v>0</v>
      </c>
      <c r="AQ65" s="42" t="s">
        <v>12</v>
      </c>
      <c r="AV65" s="41">
        <f>AW65+AX65</f>
        <v>0</v>
      </c>
      <c r="AW65" s="41">
        <f>G65*AO65</f>
        <v>0</v>
      </c>
      <c r="AX65" s="41">
        <f>G65*AP65</f>
        <v>0</v>
      </c>
      <c r="AY65" s="44" t="s">
        <v>393</v>
      </c>
      <c r="AZ65" s="44" t="s">
        <v>411</v>
      </c>
      <c r="BA65" s="31" t="s">
        <v>416</v>
      </c>
      <c r="BC65" s="41">
        <f>AW65+AX65</f>
        <v>0</v>
      </c>
      <c r="BD65" s="41">
        <f>H65/(100-BE65)*100</f>
        <v>0</v>
      </c>
      <c r="BE65" s="41">
        <v>0</v>
      </c>
      <c r="BF65" s="41">
        <f>M65</f>
        <v>0.0144</v>
      </c>
      <c r="BH65" s="21">
        <f>G65*AO65</f>
        <v>0</v>
      </c>
      <c r="BI65" s="21">
        <f>G65*AP65</f>
        <v>0</v>
      </c>
      <c r="BJ65" s="21">
        <f>G65*H65</f>
        <v>0</v>
      </c>
      <c r="BK65" s="21" t="s">
        <v>421</v>
      </c>
      <c r="BL65" s="41">
        <v>766</v>
      </c>
    </row>
    <row r="66" spans="1:64" ht="12.75">
      <c r="A66" s="4" t="s">
        <v>50</v>
      </c>
      <c r="B66" s="13"/>
      <c r="C66" s="13" t="s">
        <v>154</v>
      </c>
      <c r="D66" s="137" t="s">
        <v>274</v>
      </c>
      <c r="E66" s="138"/>
      <c r="F66" s="13" t="s">
        <v>344</v>
      </c>
      <c r="G66" s="21">
        <v>6</v>
      </c>
      <c r="H66" s="21">
        <v>0</v>
      </c>
      <c r="I66" s="21">
        <f>G66*AO66</f>
        <v>0</v>
      </c>
      <c r="J66" s="21">
        <f>G66*AP66</f>
        <v>0</v>
      </c>
      <c r="K66" s="21">
        <f>G66*H66</f>
        <v>0</v>
      </c>
      <c r="L66" s="21">
        <v>0</v>
      </c>
      <c r="M66" s="21">
        <f>G66*L66</f>
        <v>0</v>
      </c>
      <c r="N66" s="35" t="s">
        <v>372</v>
      </c>
      <c r="O66" s="39"/>
      <c r="Z66" s="41">
        <f>IF(AQ66="5",BJ66,0)</f>
        <v>0</v>
      </c>
      <c r="AB66" s="41">
        <f>IF(AQ66="1",BH66,0)</f>
        <v>0</v>
      </c>
      <c r="AC66" s="41">
        <f>IF(AQ66="1",BI66,0)</f>
        <v>0</v>
      </c>
      <c r="AD66" s="41">
        <f>IF(AQ66="7",BH66,0)</f>
        <v>0</v>
      </c>
      <c r="AE66" s="41">
        <f>IF(AQ66="7",BI66,0)</f>
        <v>0</v>
      </c>
      <c r="AF66" s="41">
        <f>IF(AQ66="2",BH66,0)</f>
        <v>0</v>
      </c>
      <c r="AG66" s="41">
        <f>IF(AQ66="2",BI66,0)</f>
        <v>0</v>
      </c>
      <c r="AH66" s="41">
        <f>IF(AQ66="0",BJ66,0)</f>
        <v>0</v>
      </c>
      <c r="AI66" s="31"/>
      <c r="AJ66" s="21">
        <f>IF(AN66=0,K66,0)</f>
        <v>0</v>
      </c>
      <c r="AK66" s="21">
        <f>IF(AN66=15,K66,0)</f>
        <v>0</v>
      </c>
      <c r="AL66" s="21">
        <f>IF(AN66=21,K66,0)</f>
        <v>0</v>
      </c>
      <c r="AN66" s="41">
        <v>15</v>
      </c>
      <c r="AO66" s="41">
        <f>H66*0</f>
        <v>0</v>
      </c>
      <c r="AP66" s="41">
        <f>H66*(1-0)</f>
        <v>0</v>
      </c>
      <c r="AQ66" s="42" t="s">
        <v>12</v>
      </c>
      <c r="AV66" s="41">
        <f>AW66+AX66</f>
        <v>0</v>
      </c>
      <c r="AW66" s="41">
        <f>G66*AO66</f>
        <v>0</v>
      </c>
      <c r="AX66" s="41">
        <f>G66*AP66</f>
        <v>0</v>
      </c>
      <c r="AY66" s="44" t="s">
        <v>393</v>
      </c>
      <c r="AZ66" s="44" t="s">
        <v>411</v>
      </c>
      <c r="BA66" s="31" t="s">
        <v>416</v>
      </c>
      <c r="BC66" s="41">
        <f>AW66+AX66</f>
        <v>0</v>
      </c>
      <c r="BD66" s="41">
        <f>H66/(100-BE66)*100</f>
        <v>0</v>
      </c>
      <c r="BE66" s="41">
        <v>0</v>
      </c>
      <c r="BF66" s="41">
        <f>M66</f>
        <v>0</v>
      </c>
      <c r="BH66" s="21">
        <f>G66*AO66</f>
        <v>0</v>
      </c>
      <c r="BI66" s="21">
        <f>G66*AP66</f>
        <v>0</v>
      </c>
      <c r="BJ66" s="21">
        <f>G66*H66</f>
        <v>0</v>
      </c>
      <c r="BK66" s="21" t="s">
        <v>421</v>
      </c>
      <c r="BL66" s="41">
        <v>766</v>
      </c>
    </row>
    <row r="67" spans="1:47" ht="12.75">
      <c r="A67" s="5"/>
      <c r="B67" s="14"/>
      <c r="C67" s="14" t="s">
        <v>155</v>
      </c>
      <c r="D67" s="139" t="s">
        <v>275</v>
      </c>
      <c r="E67" s="140"/>
      <c r="F67" s="19" t="s">
        <v>5</v>
      </c>
      <c r="G67" s="19" t="s">
        <v>5</v>
      </c>
      <c r="H67" s="19" t="s">
        <v>5</v>
      </c>
      <c r="I67" s="47">
        <f>SUM(I68:I68)</f>
        <v>0</v>
      </c>
      <c r="J67" s="47">
        <f>SUM(J68:J68)</f>
        <v>0</v>
      </c>
      <c r="K67" s="47">
        <f>SUM(K68:K68)</f>
        <v>0</v>
      </c>
      <c r="L67" s="31"/>
      <c r="M67" s="47">
        <f>SUM(M68:M68)</f>
        <v>0.004788</v>
      </c>
      <c r="N67" s="36"/>
      <c r="O67" s="39"/>
      <c r="AI67" s="31"/>
      <c r="AS67" s="47">
        <f>SUM(AJ68:AJ68)</f>
        <v>0</v>
      </c>
      <c r="AT67" s="47">
        <f>SUM(AK68:AK68)</f>
        <v>0</v>
      </c>
      <c r="AU67" s="47">
        <f>SUM(AL68:AL68)</f>
        <v>0</v>
      </c>
    </row>
    <row r="68" spans="1:64" ht="12.75">
      <c r="A68" s="4" t="s">
        <v>51</v>
      </c>
      <c r="B68" s="13"/>
      <c r="C68" s="13" t="s">
        <v>156</v>
      </c>
      <c r="D68" s="137" t="s">
        <v>276</v>
      </c>
      <c r="E68" s="138"/>
      <c r="F68" s="13" t="s">
        <v>345</v>
      </c>
      <c r="G68" s="21">
        <v>1.2</v>
      </c>
      <c r="H68" s="21">
        <v>0</v>
      </c>
      <c r="I68" s="21">
        <f>G68*AO68</f>
        <v>0</v>
      </c>
      <c r="J68" s="21">
        <f>G68*AP68</f>
        <v>0</v>
      </c>
      <c r="K68" s="21">
        <f>G68*H68</f>
        <v>0</v>
      </c>
      <c r="L68" s="21">
        <v>0.00399</v>
      </c>
      <c r="M68" s="21">
        <f>G68*L68</f>
        <v>0.004788</v>
      </c>
      <c r="N68" s="35" t="s">
        <v>372</v>
      </c>
      <c r="O68" s="39"/>
      <c r="Z68" s="41">
        <f>IF(AQ68="5",BJ68,0)</f>
        <v>0</v>
      </c>
      <c r="AB68" s="41">
        <f>IF(AQ68="1",BH68,0)</f>
        <v>0</v>
      </c>
      <c r="AC68" s="41">
        <f>IF(AQ68="1",BI68,0)</f>
        <v>0</v>
      </c>
      <c r="AD68" s="41">
        <f>IF(AQ68="7",BH68,0)</f>
        <v>0</v>
      </c>
      <c r="AE68" s="41">
        <f>IF(AQ68="7",BI68,0)</f>
        <v>0</v>
      </c>
      <c r="AF68" s="41">
        <f>IF(AQ68="2",BH68,0)</f>
        <v>0</v>
      </c>
      <c r="AG68" s="41">
        <f>IF(AQ68="2",BI68,0)</f>
        <v>0</v>
      </c>
      <c r="AH68" s="41">
        <f>IF(AQ68="0",BJ68,0)</f>
        <v>0</v>
      </c>
      <c r="AI68" s="31"/>
      <c r="AJ68" s="21">
        <f>IF(AN68=0,K68,0)</f>
        <v>0</v>
      </c>
      <c r="AK68" s="21">
        <f>IF(AN68=15,K68,0)</f>
        <v>0</v>
      </c>
      <c r="AL68" s="21">
        <f>IF(AN68=21,K68,0)</f>
        <v>0</v>
      </c>
      <c r="AN68" s="41">
        <v>15</v>
      </c>
      <c r="AO68" s="41">
        <f>H68*0.343929765886288</f>
        <v>0</v>
      </c>
      <c r="AP68" s="41">
        <f>H68*(1-0.343929765886288)</f>
        <v>0</v>
      </c>
      <c r="AQ68" s="42" t="s">
        <v>12</v>
      </c>
      <c r="AV68" s="41">
        <f>AW68+AX68</f>
        <v>0</v>
      </c>
      <c r="AW68" s="41">
        <f>G68*AO68</f>
        <v>0</v>
      </c>
      <c r="AX68" s="41">
        <f>G68*AP68</f>
        <v>0</v>
      </c>
      <c r="AY68" s="44" t="s">
        <v>394</v>
      </c>
      <c r="AZ68" s="44" t="s">
        <v>412</v>
      </c>
      <c r="BA68" s="31" t="s">
        <v>416</v>
      </c>
      <c r="BC68" s="41">
        <f>AW68+AX68</f>
        <v>0</v>
      </c>
      <c r="BD68" s="41">
        <f>H68/(100-BE68)*100</f>
        <v>0</v>
      </c>
      <c r="BE68" s="41">
        <v>0</v>
      </c>
      <c r="BF68" s="41">
        <f>M68</f>
        <v>0.004788</v>
      </c>
      <c r="BH68" s="21">
        <f>G68*AO68</f>
        <v>0</v>
      </c>
      <c r="BI68" s="21">
        <f>G68*AP68</f>
        <v>0</v>
      </c>
      <c r="BJ68" s="21">
        <f>G68*H68</f>
        <v>0</v>
      </c>
      <c r="BK68" s="21" t="s">
        <v>421</v>
      </c>
      <c r="BL68" s="41">
        <v>771</v>
      </c>
    </row>
    <row r="69" spans="1:47" ht="12.75">
      <c r="A69" s="5"/>
      <c r="B69" s="14"/>
      <c r="C69" s="14" t="s">
        <v>157</v>
      </c>
      <c r="D69" s="139" t="s">
        <v>277</v>
      </c>
      <c r="E69" s="140"/>
      <c r="F69" s="19" t="s">
        <v>5</v>
      </c>
      <c r="G69" s="19" t="s">
        <v>5</v>
      </c>
      <c r="H69" s="19" t="s">
        <v>5</v>
      </c>
      <c r="I69" s="47">
        <f>SUM(I70:I70)</f>
        <v>0</v>
      </c>
      <c r="J69" s="47">
        <f>SUM(J70:J70)</f>
        <v>0</v>
      </c>
      <c r="K69" s="47">
        <f>SUM(K70:K70)</f>
        <v>0</v>
      </c>
      <c r="L69" s="31"/>
      <c r="M69" s="47">
        <f>SUM(M70:M70)</f>
        <v>0</v>
      </c>
      <c r="N69" s="36"/>
      <c r="O69" s="39"/>
      <c r="AI69" s="31"/>
      <c r="AS69" s="47">
        <f>SUM(AJ70:AJ70)</f>
        <v>0</v>
      </c>
      <c r="AT69" s="47">
        <f>SUM(AK70:AK70)</f>
        <v>0</v>
      </c>
      <c r="AU69" s="47">
        <f>SUM(AL70:AL70)</f>
        <v>0</v>
      </c>
    </row>
    <row r="70" spans="1:64" ht="12.75">
      <c r="A70" s="4" t="s">
        <v>52</v>
      </c>
      <c r="B70" s="13"/>
      <c r="C70" s="13" t="s">
        <v>158</v>
      </c>
      <c r="D70" s="137" t="s">
        <v>278</v>
      </c>
      <c r="E70" s="138"/>
      <c r="F70" s="13" t="s">
        <v>346</v>
      </c>
      <c r="G70" s="21">
        <v>6</v>
      </c>
      <c r="H70" s="21">
        <v>0</v>
      </c>
      <c r="I70" s="21">
        <f>G70*AO70</f>
        <v>0</v>
      </c>
      <c r="J70" s="21">
        <f>G70*AP70</f>
        <v>0</v>
      </c>
      <c r="K70" s="21">
        <f>G70*H70</f>
        <v>0</v>
      </c>
      <c r="L70" s="21">
        <v>0</v>
      </c>
      <c r="M70" s="21">
        <f>G70*L70</f>
        <v>0</v>
      </c>
      <c r="N70" s="35" t="s">
        <v>372</v>
      </c>
      <c r="O70" s="39"/>
      <c r="Z70" s="41">
        <f>IF(AQ70="5",BJ70,0)</f>
        <v>0</v>
      </c>
      <c r="AB70" s="41">
        <f>IF(AQ70="1",BH70,0)</f>
        <v>0</v>
      </c>
      <c r="AC70" s="41">
        <f>IF(AQ70="1",BI70,0)</f>
        <v>0</v>
      </c>
      <c r="AD70" s="41">
        <f>IF(AQ70="7",BH70,0)</f>
        <v>0</v>
      </c>
      <c r="AE70" s="41">
        <f>IF(AQ70="7",BI70,0)</f>
        <v>0</v>
      </c>
      <c r="AF70" s="41">
        <f>IF(AQ70="2",BH70,0)</f>
        <v>0</v>
      </c>
      <c r="AG70" s="41">
        <f>IF(AQ70="2",BI70,0)</f>
        <v>0</v>
      </c>
      <c r="AH70" s="41">
        <f>IF(AQ70="0",BJ70,0)</f>
        <v>0</v>
      </c>
      <c r="AI70" s="31"/>
      <c r="AJ70" s="21">
        <f>IF(AN70=0,K70,0)</f>
        <v>0</v>
      </c>
      <c r="AK70" s="21">
        <f>IF(AN70=15,K70,0)</f>
        <v>0</v>
      </c>
      <c r="AL70" s="21">
        <f>IF(AN70=21,K70,0)</f>
        <v>0</v>
      </c>
      <c r="AN70" s="41">
        <v>15</v>
      </c>
      <c r="AO70" s="41">
        <f>H70*0</f>
        <v>0</v>
      </c>
      <c r="AP70" s="41">
        <f>H70*(1-0)</f>
        <v>0</v>
      </c>
      <c r="AQ70" s="42" t="s">
        <v>12</v>
      </c>
      <c r="AV70" s="41">
        <f>AW70+AX70</f>
        <v>0</v>
      </c>
      <c r="AW70" s="41">
        <f>G70*AO70</f>
        <v>0</v>
      </c>
      <c r="AX70" s="41">
        <f>G70*AP70</f>
        <v>0</v>
      </c>
      <c r="AY70" s="44" t="s">
        <v>395</v>
      </c>
      <c r="AZ70" s="44" t="s">
        <v>412</v>
      </c>
      <c r="BA70" s="31" t="s">
        <v>416</v>
      </c>
      <c r="BC70" s="41">
        <f>AW70+AX70</f>
        <v>0</v>
      </c>
      <c r="BD70" s="41">
        <f>H70/(100-BE70)*100</f>
        <v>0</v>
      </c>
      <c r="BE70" s="41">
        <v>0</v>
      </c>
      <c r="BF70" s="41">
        <f>M70</f>
        <v>0</v>
      </c>
      <c r="BH70" s="21">
        <f>G70*AO70</f>
        <v>0</v>
      </c>
      <c r="BI70" s="21">
        <f>G70*AP70</f>
        <v>0</v>
      </c>
      <c r="BJ70" s="21">
        <f>G70*H70</f>
        <v>0</v>
      </c>
      <c r="BK70" s="21" t="s">
        <v>421</v>
      </c>
      <c r="BL70" s="41">
        <v>775</v>
      </c>
    </row>
    <row r="71" spans="1:47" ht="12.75">
      <c r="A71" s="5"/>
      <c r="B71" s="14"/>
      <c r="C71" s="14" t="s">
        <v>159</v>
      </c>
      <c r="D71" s="139" t="s">
        <v>279</v>
      </c>
      <c r="E71" s="140"/>
      <c r="F71" s="19" t="s">
        <v>5</v>
      </c>
      <c r="G71" s="19" t="s">
        <v>5</v>
      </c>
      <c r="H71" s="19" t="s">
        <v>5</v>
      </c>
      <c r="I71" s="47">
        <f>SUM(I72:I73)</f>
        <v>0</v>
      </c>
      <c r="J71" s="47">
        <f>SUM(J72:J73)</f>
        <v>0</v>
      </c>
      <c r="K71" s="47">
        <f>SUM(K72:K73)</f>
        <v>0</v>
      </c>
      <c r="L71" s="31"/>
      <c r="M71" s="47">
        <f>SUM(M72:M73)</f>
        <v>0.5689244</v>
      </c>
      <c r="N71" s="36"/>
      <c r="O71" s="39"/>
      <c r="AI71" s="31"/>
      <c r="AS71" s="47">
        <f>SUM(AJ72:AJ73)</f>
        <v>0</v>
      </c>
      <c r="AT71" s="47">
        <f>SUM(AK72:AK73)</f>
        <v>0</v>
      </c>
      <c r="AU71" s="47">
        <f>SUM(AL72:AL73)</f>
        <v>0</v>
      </c>
    </row>
    <row r="72" spans="1:64" ht="12.75">
      <c r="A72" s="4" t="s">
        <v>53</v>
      </c>
      <c r="B72" s="13"/>
      <c r="C72" s="13" t="s">
        <v>160</v>
      </c>
      <c r="D72" s="137" t="s">
        <v>280</v>
      </c>
      <c r="E72" s="138"/>
      <c r="F72" s="13" t="s">
        <v>345</v>
      </c>
      <c r="G72" s="21">
        <v>58.29</v>
      </c>
      <c r="H72" s="21">
        <v>0</v>
      </c>
      <c r="I72" s="21">
        <f>G72*AO72</f>
        <v>0</v>
      </c>
      <c r="J72" s="21">
        <f>G72*AP72</f>
        <v>0</v>
      </c>
      <c r="K72" s="21">
        <f>G72*H72</f>
        <v>0</v>
      </c>
      <c r="L72" s="21">
        <v>0.00108</v>
      </c>
      <c r="M72" s="21">
        <f>G72*L72</f>
        <v>0.0629532</v>
      </c>
      <c r="N72" s="35" t="s">
        <v>372</v>
      </c>
      <c r="O72" s="39"/>
      <c r="Z72" s="41">
        <f>IF(AQ72="5",BJ72,0)</f>
        <v>0</v>
      </c>
      <c r="AB72" s="41">
        <f>IF(AQ72="1",BH72,0)</f>
        <v>0</v>
      </c>
      <c r="AC72" s="41">
        <f>IF(AQ72="1",BI72,0)</f>
        <v>0</v>
      </c>
      <c r="AD72" s="41">
        <f>IF(AQ72="7",BH72,0)</f>
        <v>0</v>
      </c>
      <c r="AE72" s="41">
        <f>IF(AQ72="7",BI72,0)</f>
        <v>0</v>
      </c>
      <c r="AF72" s="41">
        <f>IF(AQ72="2",BH72,0)</f>
        <v>0</v>
      </c>
      <c r="AG72" s="41">
        <f>IF(AQ72="2",BI72,0)</f>
        <v>0</v>
      </c>
      <c r="AH72" s="41">
        <f>IF(AQ72="0",BJ72,0)</f>
        <v>0</v>
      </c>
      <c r="AI72" s="31"/>
      <c r="AJ72" s="21">
        <f>IF(AN72=0,K72,0)</f>
        <v>0</v>
      </c>
      <c r="AK72" s="21">
        <f>IF(AN72=15,K72,0)</f>
        <v>0</v>
      </c>
      <c r="AL72" s="21">
        <f>IF(AN72=21,K72,0)</f>
        <v>0</v>
      </c>
      <c r="AN72" s="41">
        <v>15</v>
      </c>
      <c r="AO72" s="41">
        <f>H72*0</f>
        <v>0</v>
      </c>
      <c r="AP72" s="41">
        <f>H72*(1-0)</f>
        <v>0</v>
      </c>
      <c r="AQ72" s="42" t="s">
        <v>12</v>
      </c>
      <c r="AV72" s="41">
        <f>AW72+AX72</f>
        <v>0</v>
      </c>
      <c r="AW72" s="41">
        <f>G72*AO72</f>
        <v>0</v>
      </c>
      <c r="AX72" s="41">
        <f>G72*AP72</f>
        <v>0</v>
      </c>
      <c r="AY72" s="44" t="s">
        <v>396</v>
      </c>
      <c r="AZ72" s="44" t="s">
        <v>412</v>
      </c>
      <c r="BA72" s="31" t="s">
        <v>416</v>
      </c>
      <c r="BC72" s="41">
        <f>AW72+AX72</f>
        <v>0</v>
      </c>
      <c r="BD72" s="41">
        <f>H72/(100-BE72)*100</f>
        <v>0</v>
      </c>
      <c r="BE72" s="41">
        <v>0</v>
      </c>
      <c r="BF72" s="41">
        <f>M72</f>
        <v>0.0629532</v>
      </c>
      <c r="BH72" s="21">
        <f>G72*AO72</f>
        <v>0</v>
      </c>
      <c r="BI72" s="21">
        <f>G72*AP72</f>
        <v>0</v>
      </c>
      <c r="BJ72" s="21">
        <f>G72*H72</f>
        <v>0</v>
      </c>
      <c r="BK72" s="21" t="s">
        <v>421</v>
      </c>
      <c r="BL72" s="41">
        <v>776</v>
      </c>
    </row>
    <row r="73" spans="1:64" ht="12.75">
      <c r="A73" s="4" t="s">
        <v>54</v>
      </c>
      <c r="B73" s="13"/>
      <c r="C73" s="13" t="s">
        <v>161</v>
      </c>
      <c r="D73" s="137" t="s">
        <v>281</v>
      </c>
      <c r="E73" s="138"/>
      <c r="F73" s="13" t="s">
        <v>345</v>
      </c>
      <c r="G73" s="21">
        <v>56.47</v>
      </c>
      <c r="H73" s="21">
        <v>0</v>
      </c>
      <c r="I73" s="21">
        <f>G73*AO73</f>
        <v>0</v>
      </c>
      <c r="J73" s="21">
        <f>G73*AP73</f>
        <v>0</v>
      </c>
      <c r="K73" s="21">
        <f>G73*H73</f>
        <v>0</v>
      </c>
      <c r="L73" s="21">
        <v>0.00896</v>
      </c>
      <c r="M73" s="21">
        <f>G73*L73</f>
        <v>0.5059712</v>
      </c>
      <c r="N73" s="35" t="s">
        <v>372</v>
      </c>
      <c r="O73" s="39"/>
      <c r="Z73" s="41">
        <f>IF(AQ73="5",BJ73,0)</f>
        <v>0</v>
      </c>
      <c r="AB73" s="41">
        <f>IF(AQ73="1",BH73,0)</f>
        <v>0</v>
      </c>
      <c r="AC73" s="41">
        <f>IF(AQ73="1",BI73,0)</f>
        <v>0</v>
      </c>
      <c r="AD73" s="41">
        <f>IF(AQ73="7",BH73,0)</f>
        <v>0</v>
      </c>
      <c r="AE73" s="41">
        <f>IF(AQ73="7",BI73,0)</f>
        <v>0</v>
      </c>
      <c r="AF73" s="41">
        <f>IF(AQ73="2",BH73,0)</f>
        <v>0</v>
      </c>
      <c r="AG73" s="41">
        <f>IF(AQ73="2",BI73,0)</f>
        <v>0</v>
      </c>
      <c r="AH73" s="41">
        <f>IF(AQ73="0",BJ73,0)</f>
        <v>0</v>
      </c>
      <c r="AI73" s="31"/>
      <c r="AJ73" s="21">
        <f>IF(AN73=0,K73,0)</f>
        <v>0</v>
      </c>
      <c r="AK73" s="21">
        <f>IF(AN73=15,K73,0)</f>
        <v>0</v>
      </c>
      <c r="AL73" s="21">
        <f>IF(AN73=21,K73,0)</f>
        <v>0</v>
      </c>
      <c r="AN73" s="41">
        <v>15</v>
      </c>
      <c r="AO73" s="41">
        <f>H73*0.716879747778731</f>
        <v>0</v>
      </c>
      <c r="AP73" s="41">
        <f>H73*(1-0.716879747778731)</f>
        <v>0</v>
      </c>
      <c r="AQ73" s="42" t="s">
        <v>12</v>
      </c>
      <c r="AV73" s="41">
        <f>AW73+AX73</f>
        <v>0</v>
      </c>
      <c r="AW73" s="41">
        <f>G73*AO73</f>
        <v>0</v>
      </c>
      <c r="AX73" s="41">
        <f>G73*AP73</f>
        <v>0</v>
      </c>
      <c r="AY73" s="44" t="s">
        <v>396</v>
      </c>
      <c r="AZ73" s="44" t="s">
        <v>412</v>
      </c>
      <c r="BA73" s="31" t="s">
        <v>416</v>
      </c>
      <c r="BC73" s="41">
        <f>AW73+AX73</f>
        <v>0</v>
      </c>
      <c r="BD73" s="41">
        <f>H73/(100-BE73)*100</f>
        <v>0</v>
      </c>
      <c r="BE73" s="41">
        <v>0</v>
      </c>
      <c r="BF73" s="41">
        <f>M73</f>
        <v>0.5059712</v>
      </c>
      <c r="BH73" s="21">
        <f>G73*AO73</f>
        <v>0</v>
      </c>
      <c r="BI73" s="21">
        <f>G73*AP73</f>
        <v>0</v>
      </c>
      <c r="BJ73" s="21">
        <f>G73*H73</f>
        <v>0</v>
      </c>
      <c r="BK73" s="21" t="s">
        <v>421</v>
      </c>
      <c r="BL73" s="41">
        <v>776</v>
      </c>
    </row>
    <row r="74" spans="1:47" ht="12.75">
      <c r="A74" s="5"/>
      <c r="B74" s="14"/>
      <c r="C74" s="14" t="s">
        <v>162</v>
      </c>
      <c r="D74" s="139" t="s">
        <v>282</v>
      </c>
      <c r="E74" s="140"/>
      <c r="F74" s="19" t="s">
        <v>5</v>
      </c>
      <c r="G74" s="19" t="s">
        <v>5</v>
      </c>
      <c r="H74" s="19"/>
      <c r="I74" s="47">
        <f>SUM(I75:I75)</f>
        <v>0</v>
      </c>
      <c r="J74" s="47">
        <f>SUM(J75:J75)</f>
        <v>0</v>
      </c>
      <c r="K74" s="47">
        <f>SUM(K75:K75)</f>
        <v>0</v>
      </c>
      <c r="L74" s="31"/>
      <c r="M74" s="47">
        <f>SUM(M75:M75)</f>
        <v>0</v>
      </c>
      <c r="N74" s="36"/>
      <c r="O74" s="39"/>
      <c r="AI74" s="31"/>
      <c r="AS74" s="47">
        <f>SUM(AJ75:AJ75)</f>
        <v>0</v>
      </c>
      <c r="AT74" s="47">
        <f>SUM(AK75:AK75)</f>
        <v>0</v>
      </c>
      <c r="AU74" s="47">
        <f>SUM(AL75:AL75)</f>
        <v>0</v>
      </c>
    </row>
    <row r="75" spans="1:64" ht="12.75">
      <c r="A75" s="4" t="s">
        <v>55</v>
      </c>
      <c r="B75" s="13"/>
      <c r="C75" s="13" t="s">
        <v>163</v>
      </c>
      <c r="D75" s="137" t="s">
        <v>283</v>
      </c>
      <c r="E75" s="138"/>
      <c r="F75" s="13" t="s">
        <v>345</v>
      </c>
      <c r="G75" s="21">
        <v>13.22</v>
      </c>
      <c r="H75" s="21">
        <v>0</v>
      </c>
      <c r="I75" s="21">
        <f>G75*AO75</f>
        <v>0</v>
      </c>
      <c r="J75" s="21">
        <f>G75*AP75</f>
        <v>0</v>
      </c>
      <c r="K75" s="21">
        <f>G75*H75</f>
        <v>0</v>
      </c>
      <c r="L75" s="21">
        <v>0</v>
      </c>
      <c r="M75" s="21">
        <f>G75*L75</f>
        <v>0</v>
      </c>
      <c r="N75" s="35" t="s">
        <v>372</v>
      </c>
      <c r="O75" s="39"/>
      <c r="Z75" s="41">
        <f>IF(AQ75="5",BJ75,0)</f>
        <v>0</v>
      </c>
      <c r="AB75" s="41">
        <f>IF(AQ75="1",BH75,0)</f>
        <v>0</v>
      </c>
      <c r="AC75" s="41">
        <f>IF(AQ75="1",BI75,0)</f>
        <v>0</v>
      </c>
      <c r="AD75" s="41">
        <f>IF(AQ75="7",BH75,0)</f>
        <v>0</v>
      </c>
      <c r="AE75" s="41">
        <f>IF(AQ75="7",BI75,0)</f>
        <v>0</v>
      </c>
      <c r="AF75" s="41">
        <f>IF(AQ75="2",BH75,0)</f>
        <v>0</v>
      </c>
      <c r="AG75" s="41">
        <f>IF(AQ75="2",BI75,0)</f>
        <v>0</v>
      </c>
      <c r="AH75" s="41">
        <f>IF(AQ75="0",BJ75,0)</f>
        <v>0</v>
      </c>
      <c r="AI75" s="31"/>
      <c r="AJ75" s="21">
        <f>IF(AN75=0,K75,0)</f>
        <v>0</v>
      </c>
      <c r="AK75" s="21">
        <f>IF(AN75=15,K75,0)</f>
        <v>0</v>
      </c>
      <c r="AL75" s="21">
        <f>IF(AN75=21,K75,0)</f>
        <v>0</v>
      </c>
      <c r="AN75" s="41">
        <v>15</v>
      </c>
      <c r="AO75" s="41">
        <f>H75*0</f>
        <v>0</v>
      </c>
      <c r="AP75" s="41">
        <f>H75*(1-0)</f>
        <v>0</v>
      </c>
      <c r="AQ75" s="42" t="s">
        <v>12</v>
      </c>
      <c r="AV75" s="41">
        <f>AW75+AX75</f>
        <v>0</v>
      </c>
      <c r="AW75" s="41">
        <f>G75*AO75</f>
        <v>0</v>
      </c>
      <c r="AX75" s="41">
        <f>G75*AP75</f>
        <v>0</v>
      </c>
      <c r="AY75" s="44" t="s">
        <v>397</v>
      </c>
      <c r="AZ75" s="44" t="s">
        <v>413</v>
      </c>
      <c r="BA75" s="31" t="s">
        <v>416</v>
      </c>
      <c r="BC75" s="41">
        <f>AW75+AX75</f>
        <v>0</v>
      </c>
      <c r="BD75" s="41">
        <f>H75/(100-BE75)*100</f>
        <v>0</v>
      </c>
      <c r="BE75" s="41">
        <v>0</v>
      </c>
      <c r="BF75" s="41">
        <f>M75</f>
        <v>0</v>
      </c>
      <c r="BH75" s="21">
        <f>G75*AO75</f>
        <v>0</v>
      </c>
      <c r="BI75" s="21">
        <f>G75*AP75</f>
        <v>0</v>
      </c>
      <c r="BJ75" s="21">
        <f>G75*H75</f>
        <v>0</v>
      </c>
      <c r="BK75" s="21" t="s">
        <v>421</v>
      </c>
      <c r="BL75" s="41">
        <v>781</v>
      </c>
    </row>
    <row r="76" spans="1:47" ht="12.75">
      <c r="A76" s="5"/>
      <c r="B76" s="14"/>
      <c r="C76" s="14" t="s">
        <v>164</v>
      </c>
      <c r="D76" s="139" t="s">
        <v>284</v>
      </c>
      <c r="E76" s="140"/>
      <c r="F76" s="19" t="s">
        <v>5</v>
      </c>
      <c r="G76" s="19" t="s">
        <v>5</v>
      </c>
      <c r="H76" s="19" t="s">
        <v>5</v>
      </c>
      <c r="I76" s="47">
        <f>SUM(I77:I79)</f>
        <v>0</v>
      </c>
      <c r="J76" s="47">
        <f>SUM(J77:J79)</f>
        <v>0</v>
      </c>
      <c r="K76" s="47">
        <f>SUM(K77:K79)</f>
        <v>0</v>
      </c>
      <c r="L76" s="31"/>
      <c r="M76" s="47">
        <f>SUM(M77:M79)</f>
        <v>0.12003240000000001</v>
      </c>
      <c r="N76" s="36"/>
      <c r="O76" s="39"/>
      <c r="AI76" s="31"/>
      <c r="AS76" s="47">
        <f>SUM(AJ77:AJ79)</f>
        <v>0</v>
      </c>
      <c r="AT76" s="47">
        <f>SUM(AK77:AK79)</f>
        <v>0</v>
      </c>
      <c r="AU76" s="47">
        <f>SUM(AL77:AL79)</f>
        <v>0</v>
      </c>
    </row>
    <row r="77" spans="1:64" ht="12.75">
      <c r="A77" s="4" t="s">
        <v>56</v>
      </c>
      <c r="B77" s="13"/>
      <c r="C77" s="13" t="s">
        <v>165</v>
      </c>
      <c r="D77" s="137" t="s">
        <v>285</v>
      </c>
      <c r="E77" s="138"/>
      <c r="F77" s="13" t="s">
        <v>345</v>
      </c>
      <c r="G77" s="21">
        <v>201.24</v>
      </c>
      <c r="H77" s="21">
        <v>0</v>
      </c>
      <c r="I77" s="21">
        <f>G77*AO77</f>
        <v>0</v>
      </c>
      <c r="J77" s="21">
        <f>G77*AP77</f>
        <v>0</v>
      </c>
      <c r="K77" s="21">
        <f>G77*H77</f>
        <v>0</v>
      </c>
      <c r="L77" s="21">
        <v>0.0002</v>
      </c>
      <c r="M77" s="21">
        <f>G77*L77</f>
        <v>0.040248000000000006</v>
      </c>
      <c r="N77" s="35" t="s">
        <v>372</v>
      </c>
      <c r="O77" s="39"/>
      <c r="Z77" s="41">
        <f>IF(AQ77="5",BJ77,0)</f>
        <v>0</v>
      </c>
      <c r="AB77" s="41">
        <f>IF(AQ77="1",BH77,0)</f>
        <v>0</v>
      </c>
      <c r="AC77" s="41">
        <f>IF(AQ77="1",BI77,0)</f>
        <v>0</v>
      </c>
      <c r="AD77" s="41">
        <f>IF(AQ77="7",BH77,0)</f>
        <v>0</v>
      </c>
      <c r="AE77" s="41">
        <f>IF(AQ77="7",BI77,0)</f>
        <v>0</v>
      </c>
      <c r="AF77" s="41">
        <f>IF(AQ77="2",BH77,0)</f>
        <v>0</v>
      </c>
      <c r="AG77" s="41">
        <f>IF(AQ77="2",BI77,0)</f>
        <v>0</v>
      </c>
      <c r="AH77" s="41">
        <f>IF(AQ77="0",BJ77,0)</f>
        <v>0</v>
      </c>
      <c r="AI77" s="31"/>
      <c r="AJ77" s="21">
        <f>IF(AN77=0,K77,0)</f>
        <v>0</v>
      </c>
      <c r="AK77" s="21">
        <f>IF(AN77=15,K77,0)</f>
        <v>0</v>
      </c>
      <c r="AL77" s="21">
        <f>IF(AN77=21,K77,0)</f>
        <v>0</v>
      </c>
      <c r="AN77" s="41">
        <v>15</v>
      </c>
      <c r="AO77" s="41">
        <f>H77*0.600731707317073</f>
        <v>0</v>
      </c>
      <c r="AP77" s="41">
        <f>H77*(1-0.600731707317073)</f>
        <v>0</v>
      </c>
      <c r="AQ77" s="42" t="s">
        <v>12</v>
      </c>
      <c r="AV77" s="41">
        <f>AW77+AX77</f>
        <v>0</v>
      </c>
      <c r="AW77" s="41">
        <f>G77*AO77</f>
        <v>0</v>
      </c>
      <c r="AX77" s="41">
        <f>G77*AP77</f>
        <v>0</v>
      </c>
      <c r="AY77" s="44" t="s">
        <v>398</v>
      </c>
      <c r="AZ77" s="44" t="s">
        <v>413</v>
      </c>
      <c r="BA77" s="31" t="s">
        <v>416</v>
      </c>
      <c r="BC77" s="41">
        <f>AW77+AX77</f>
        <v>0</v>
      </c>
      <c r="BD77" s="41">
        <f>H77/(100-BE77)*100</f>
        <v>0</v>
      </c>
      <c r="BE77" s="41">
        <v>0</v>
      </c>
      <c r="BF77" s="41">
        <f>M77</f>
        <v>0.040248000000000006</v>
      </c>
      <c r="BH77" s="21">
        <f>G77*AO77</f>
        <v>0</v>
      </c>
      <c r="BI77" s="21">
        <f>G77*AP77</f>
        <v>0</v>
      </c>
      <c r="BJ77" s="21">
        <f>G77*H77</f>
        <v>0</v>
      </c>
      <c r="BK77" s="21" t="s">
        <v>421</v>
      </c>
      <c r="BL77" s="41">
        <v>784</v>
      </c>
    </row>
    <row r="78" spans="1:64" ht="12.75">
      <c r="A78" s="4" t="s">
        <v>57</v>
      </c>
      <c r="B78" s="13"/>
      <c r="C78" s="13" t="s">
        <v>166</v>
      </c>
      <c r="D78" s="137" t="s">
        <v>286</v>
      </c>
      <c r="E78" s="138"/>
      <c r="F78" s="13" t="s">
        <v>345</v>
      </c>
      <c r="G78" s="21">
        <v>201.24</v>
      </c>
      <c r="H78" s="21">
        <v>0</v>
      </c>
      <c r="I78" s="21">
        <f>G78*AO78</f>
        <v>0</v>
      </c>
      <c r="J78" s="21">
        <f>G78*AP78</f>
        <v>0</v>
      </c>
      <c r="K78" s="21">
        <f>G78*H78</f>
        <v>0</v>
      </c>
      <c r="L78" s="21">
        <v>0.00031</v>
      </c>
      <c r="M78" s="21">
        <f>G78*L78</f>
        <v>0.0623844</v>
      </c>
      <c r="N78" s="35" t="s">
        <v>372</v>
      </c>
      <c r="O78" s="39"/>
      <c r="Z78" s="41">
        <f>IF(AQ78="5",BJ78,0)</f>
        <v>0</v>
      </c>
      <c r="AB78" s="41">
        <f>IF(AQ78="1",BH78,0)</f>
        <v>0</v>
      </c>
      <c r="AC78" s="41">
        <f>IF(AQ78="1",BI78,0)</f>
        <v>0</v>
      </c>
      <c r="AD78" s="41">
        <f>IF(AQ78="7",BH78,0)</f>
        <v>0</v>
      </c>
      <c r="AE78" s="41">
        <f>IF(AQ78="7",BI78,0)</f>
        <v>0</v>
      </c>
      <c r="AF78" s="41">
        <f>IF(AQ78="2",BH78,0)</f>
        <v>0</v>
      </c>
      <c r="AG78" s="41">
        <f>IF(AQ78="2",BI78,0)</f>
        <v>0</v>
      </c>
      <c r="AH78" s="41">
        <f>IF(AQ78="0",BJ78,0)</f>
        <v>0</v>
      </c>
      <c r="AI78" s="31"/>
      <c r="AJ78" s="21">
        <f>IF(AN78=0,K78,0)</f>
        <v>0</v>
      </c>
      <c r="AK78" s="21">
        <f>IF(AN78=15,K78,0)</f>
        <v>0</v>
      </c>
      <c r="AL78" s="21">
        <f>IF(AN78=21,K78,0)</f>
        <v>0</v>
      </c>
      <c r="AN78" s="41">
        <v>15</v>
      </c>
      <c r="AO78" s="41">
        <f>H78*0.316751616485526</f>
        <v>0</v>
      </c>
      <c r="AP78" s="41">
        <f>H78*(1-0.316751616485526)</f>
        <v>0</v>
      </c>
      <c r="AQ78" s="42" t="s">
        <v>12</v>
      </c>
      <c r="AV78" s="41">
        <f>AW78+AX78</f>
        <v>0</v>
      </c>
      <c r="AW78" s="41">
        <f>G78*AO78</f>
        <v>0</v>
      </c>
      <c r="AX78" s="41">
        <f>G78*AP78</f>
        <v>0</v>
      </c>
      <c r="AY78" s="44" t="s">
        <v>398</v>
      </c>
      <c r="AZ78" s="44" t="s">
        <v>413</v>
      </c>
      <c r="BA78" s="31" t="s">
        <v>416</v>
      </c>
      <c r="BC78" s="41">
        <f>AW78+AX78</f>
        <v>0</v>
      </c>
      <c r="BD78" s="41">
        <f>H78/(100-BE78)*100</f>
        <v>0</v>
      </c>
      <c r="BE78" s="41">
        <v>0</v>
      </c>
      <c r="BF78" s="41">
        <f>M78</f>
        <v>0.0623844</v>
      </c>
      <c r="BH78" s="21">
        <f>G78*AO78</f>
        <v>0</v>
      </c>
      <c r="BI78" s="21">
        <f>G78*AP78</f>
        <v>0</v>
      </c>
      <c r="BJ78" s="21">
        <f>G78*H78</f>
        <v>0</v>
      </c>
      <c r="BK78" s="21" t="s">
        <v>421</v>
      </c>
      <c r="BL78" s="41">
        <v>784</v>
      </c>
    </row>
    <row r="79" spans="1:64" ht="12.75">
      <c r="A79" s="4" t="s">
        <v>58</v>
      </c>
      <c r="B79" s="13"/>
      <c r="C79" s="13" t="s">
        <v>167</v>
      </c>
      <c r="D79" s="137" t="s">
        <v>287</v>
      </c>
      <c r="E79" s="138"/>
      <c r="F79" s="13" t="s">
        <v>345</v>
      </c>
      <c r="G79" s="21">
        <v>60</v>
      </c>
      <c r="H79" s="21">
        <v>0</v>
      </c>
      <c r="I79" s="21">
        <f>G79*AO79</f>
        <v>0</v>
      </c>
      <c r="J79" s="21">
        <f>G79*AP79</f>
        <v>0</v>
      </c>
      <c r="K79" s="21">
        <f>G79*H79</f>
        <v>0</v>
      </c>
      <c r="L79" s="21">
        <v>0.00029</v>
      </c>
      <c r="M79" s="21">
        <f>G79*L79</f>
        <v>0.0174</v>
      </c>
      <c r="N79" s="35" t="s">
        <v>372</v>
      </c>
      <c r="O79" s="39"/>
      <c r="Z79" s="41">
        <f>IF(AQ79="5",BJ79,0)</f>
        <v>0</v>
      </c>
      <c r="AB79" s="41">
        <f>IF(AQ79="1",BH79,0)</f>
        <v>0</v>
      </c>
      <c r="AC79" s="41">
        <f>IF(AQ79="1",BI79,0)</f>
        <v>0</v>
      </c>
      <c r="AD79" s="41">
        <f>IF(AQ79="7",BH79,0)</f>
        <v>0</v>
      </c>
      <c r="AE79" s="41">
        <f>IF(AQ79="7",BI79,0)</f>
        <v>0</v>
      </c>
      <c r="AF79" s="41">
        <f>IF(AQ79="2",BH79,0)</f>
        <v>0</v>
      </c>
      <c r="AG79" s="41">
        <f>IF(AQ79="2",BI79,0)</f>
        <v>0</v>
      </c>
      <c r="AH79" s="41">
        <f>IF(AQ79="0",BJ79,0)</f>
        <v>0</v>
      </c>
      <c r="AI79" s="31"/>
      <c r="AJ79" s="21">
        <f>IF(AN79=0,K79,0)</f>
        <v>0</v>
      </c>
      <c r="AK79" s="21">
        <f>IF(AN79=15,K79,0)</f>
        <v>0</v>
      </c>
      <c r="AL79" s="21">
        <f>IF(AN79=21,K79,0)</f>
        <v>0</v>
      </c>
      <c r="AN79" s="41">
        <v>15</v>
      </c>
      <c r="AO79" s="41">
        <f>H79*0.229989658738366</f>
        <v>0</v>
      </c>
      <c r="AP79" s="41">
        <f>H79*(1-0.229989658738366)</f>
        <v>0</v>
      </c>
      <c r="AQ79" s="42" t="s">
        <v>12</v>
      </c>
      <c r="AV79" s="41">
        <f>AW79+AX79</f>
        <v>0</v>
      </c>
      <c r="AW79" s="41">
        <f>G79*AO79</f>
        <v>0</v>
      </c>
      <c r="AX79" s="41">
        <f>G79*AP79</f>
        <v>0</v>
      </c>
      <c r="AY79" s="44" t="s">
        <v>398</v>
      </c>
      <c r="AZ79" s="44" t="s">
        <v>413</v>
      </c>
      <c r="BA79" s="31" t="s">
        <v>416</v>
      </c>
      <c r="BC79" s="41">
        <f>AW79+AX79</f>
        <v>0</v>
      </c>
      <c r="BD79" s="41">
        <f>H79/(100-BE79)*100</f>
        <v>0</v>
      </c>
      <c r="BE79" s="41">
        <v>0</v>
      </c>
      <c r="BF79" s="41">
        <f>M79</f>
        <v>0.0174</v>
      </c>
      <c r="BH79" s="21">
        <f>G79*AO79</f>
        <v>0</v>
      </c>
      <c r="BI79" s="21">
        <f>G79*AP79</f>
        <v>0</v>
      </c>
      <c r="BJ79" s="21">
        <f>G79*H79</f>
        <v>0</v>
      </c>
      <c r="BK79" s="21" t="s">
        <v>421</v>
      </c>
      <c r="BL79" s="41">
        <v>784</v>
      </c>
    </row>
    <row r="80" spans="1:47" ht="12.75">
      <c r="A80" s="5"/>
      <c r="B80" s="14"/>
      <c r="C80" s="14" t="s">
        <v>100</v>
      </c>
      <c r="D80" s="139" t="s">
        <v>288</v>
      </c>
      <c r="E80" s="140"/>
      <c r="F80" s="19" t="s">
        <v>5</v>
      </c>
      <c r="G80" s="19" t="s">
        <v>5</v>
      </c>
      <c r="H80" s="19" t="s">
        <v>5</v>
      </c>
      <c r="I80" s="47">
        <f>SUM(I81:I83)</f>
        <v>0</v>
      </c>
      <c r="J80" s="47">
        <f>SUM(J81:J83)</f>
        <v>0</v>
      </c>
      <c r="K80" s="47">
        <f>SUM(K81:K83)</f>
        <v>0</v>
      </c>
      <c r="L80" s="31"/>
      <c r="M80" s="47">
        <f>SUM(M81:M83)</f>
        <v>0.03632679999999999</v>
      </c>
      <c r="N80" s="36"/>
      <c r="O80" s="39"/>
      <c r="AI80" s="31"/>
      <c r="AS80" s="47">
        <f>SUM(AJ81:AJ83)</f>
        <v>0</v>
      </c>
      <c r="AT80" s="47">
        <f>SUM(AK81:AK83)</f>
        <v>0</v>
      </c>
      <c r="AU80" s="47">
        <f>SUM(AL81:AL83)</f>
        <v>0</v>
      </c>
    </row>
    <row r="81" spans="1:64" ht="12.75">
      <c r="A81" s="4" t="s">
        <v>59</v>
      </c>
      <c r="B81" s="13"/>
      <c r="C81" s="13" t="s">
        <v>168</v>
      </c>
      <c r="D81" s="137" t="s">
        <v>289</v>
      </c>
      <c r="E81" s="138"/>
      <c r="F81" s="13" t="s">
        <v>345</v>
      </c>
      <c r="G81" s="21">
        <v>57.67</v>
      </c>
      <c r="H81" s="21">
        <v>0</v>
      </c>
      <c r="I81" s="21">
        <f>G81*AO81</f>
        <v>0</v>
      </c>
      <c r="J81" s="21">
        <f>G81*AP81</f>
        <v>0</v>
      </c>
      <c r="K81" s="21">
        <f>G81*H81</f>
        <v>0</v>
      </c>
      <c r="L81" s="21">
        <v>4E-05</v>
      </c>
      <c r="M81" s="21">
        <f>G81*L81</f>
        <v>0.0023068000000000003</v>
      </c>
      <c r="N81" s="35" t="s">
        <v>372</v>
      </c>
      <c r="O81" s="39"/>
      <c r="Z81" s="41">
        <f>IF(AQ81="5",BJ81,0)</f>
        <v>0</v>
      </c>
      <c r="AB81" s="41">
        <f>IF(AQ81="1",BH81,0)</f>
        <v>0</v>
      </c>
      <c r="AC81" s="41">
        <f>IF(AQ81="1",BI81,0)</f>
        <v>0</v>
      </c>
      <c r="AD81" s="41">
        <f>IF(AQ81="7",BH81,0)</f>
        <v>0</v>
      </c>
      <c r="AE81" s="41">
        <f>IF(AQ81="7",BI81,0)</f>
        <v>0</v>
      </c>
      <c r="AF81" s="41">
        <f>IF(AQ81="2",BH81,0)</f>
        <v>0</v>
      </c>
      <c r="AG81" s="41">
        <f>IF(AQ81="2",BI81,0)</f>
        <v>0</v>
      </c>
      <c r="AH81" s="41">
        <f>IF(AQ81="0",BJ81,0)</f>
        <v>0</v>
      </c>
      <c r="AI81" s="31"/>
      <c r="AJ81" s="21">
        <f>IF(AN81=0,K81,0)</f>
        <v>0</v>
      </c>
      <c r="AK81" s="21">
        <f>IF(AN81=15,K81,0)</f>
        <v>0</v>
      </c>
      <c r="AL81" s="21">
        <f>IF(AN81=21,K81,0)</f>
        <v>0</v>
      </c>
      <c r="AN81" s="41">
        <v>15</v>
      </c>
      <c r="AO81" s="41">
        <f>H81*0.0124696268735301</f>
        <v>0</v>
      </c>
      <c r="AP81" s="41">
        <f>H81*(1-0.0124696268735301)</f>
        <v>0</v>
      </c>
      <c r="AQ81" s="42" t="s">
        <v>6</v>
      </c>
      <c r="AV81" s="41">
        <f>AW81+AX81</f>
        <v>0</v>
      </c>
      <c r="AW81" s="41">
        <f>G81*AO81</f>
        <v>0</v>
      </c>
      <c r="AX81" s="41">
        <f>G81*AP81</f>
        <v>0</v>
      </c>
      <c r="AY81" s="44" t="s">
        <v>399</v>
      </c>
      <c r="AZ81" s="44" t="s">
        <v>414</v>
      </c>
      <c r="BA81" s="31" t="s">
        <v>416</v>
      </c>
      <c r="BC81" s="41">
        <f>AW81+AX81</f>
        <v>0</v>
      </c>
      <c r="BD81" s="41">
        <f>H81/(100-BE81)*100</f>
        <v>0</v>
      </c>
      <c r="BE81" s="41">
        <v>0</v>
      </c>
      <c r="BF81" s="41">
        <f>M81</f>
        <v>0.0023068000000000003</v>
      </c>
      <c r="BH81" s="21">
        <f>G81*AO81</f>
        <v>0</v>
      </c>
      <c r="BI81" s="21">
        <f>G81*AP81</f>
        <v>0</v>
      </c>
      <c r="BJ81" s="21">
        <f>G81*H81</f>
        <v>0</v>
      </c>
      <c r="BK81" s="21" t="s">
        <v>421</v>
      </c>
      <c r="BL81" s="41">
        <v>95</v>
      </c>
    </row>
    <row r="82" spans="1:64" ht="12.75">
      <c r="A82" s="4" t="s">
        <v>60</v>
      </c>
      <c r="B82" s="13"/>
      <c r="C82" s="13" t="s">
        <v>169</v>
      </c>
      <c r="D82" s="137" t="s">
        <v>290</v>
      </c>
      <c r="E82" s="138"/>
      <c r="F82" s="13" t="s">
        <v>345</v>
      </c>
      <c r="G82" s="21">
        <v>1153</v>
      </c>
      <c r="H82" s="21">
        <v>0</v>
      </c>
      <c r="I82" s="21">
        <f>G82*AO82</f>
        <v>0</v>
      </c>
      <c r="J82" s="21">
        <f>G82*AP82</f>
        <v>0</v>
      </c>
      <c r="K82" s="21">
        <f>G82*H82</f>
        <v>0</v>
      </c>
      <c r="L82" s="21">
        <v>0</v>
      </c>
      <c r="M82" s="21">
        <f>G82*L82</f>
        <v>0</v>
      </c>
      <c r="N82" s="35" t="s">
        <v>372</v>
      </c>
      <c r="O82" s="39"/>
      <c r="Z82" s="41">
        <f>IF(AQ82="5",BJ82,0)</f>
        <v>0</v>
      </c>
      <c r="AB82" s="41">
        <f>IF(AQ82="1",BH82,0)</f>
        <v>0</v>
      </c>
      <c r="AC82" s="41">
        <f>IF(AQ82="1",BI82,0)</f>
        <v>0</v>
      </c>
      <c r="AD82" s="41">
        <f>IF(AQ82="7",BH82,0)</f>
        <v>0</v>
      </c>
      <c r="AE82" s="41">
        <f>IF(AQ82="7",BI82,0)</f>
        <v>0</v>
      </c>
      <c r="AF82" s="41">
        <f>IF(AQ82="2",BH82,0)</f>
        <v>0</v>
      </c>
      <c r="AG82" s="41">
        <f>IF(AQ82="2",BI82,0)</f>
        <v>0</v>
      </c>
      <c r="AH82" s="41">
        <f>IF(AQ82="0",BJ82,0)</f>
        <v>0</v>
      </c>
      <c r="AI82" s="31"/>
      <c r="AJ82" s="21">
        <f>IF(AN82=0,K82,0)</f>
        <v>0</v>
      </c>
      <c r="AK82" s="21">
        <f>IF(AN82=15,K82,0)</f>
        <v>0</v>
      </c>
      <c r="AL82" s="21">
        <f>IF(AN82=21,K82,0)</f>
        <v>0</v>
      </c>
      <c r="AN82" s="41">
        <v>15</v>
      </c>
      <c r="AO82" s="41">
        <f>H82*0</f>
        <v>0</v>
      </c>
      <c r="AP82" s="41">
        <f>H82*(1-0)</f>
        <v>0</v>
      </c>
      <c r="AQ82" s="42" t="s">
        <v>6</v>
      </c>
      <c r="AV82" s="41">
        <f>AW82+AX82</f>
        <v>0</v>
      </c>
      <c r="AW82" s="41">
        <f>G82*AO82</f>
        <v>0</v>
      </c>
      <c r="AX82" s="41">
        <f>G82*AP82</f>
        <v>0</v>
      </c>
      <c r="AY82" s="44" t="s">
        <v>399</v>
      </c>
      <c r="AZ82" s="44" t="s">
        <v>414</v>
      </c>
      <c r="BA82" s="31" t="s">
        <v>416</v>
      </c>
      <c r="BC82" s="41">
        <f>AW82+AX82</f>
        <v>0</v>
      </c>
      <c r="BD82" s="41">
        <f>H82/(100-BE82)*100</f>
        <v>0</v>
      </c>
      <c r="BE82" s="41">
        <v>0</v>
      </c>
      <c r="BF82" s="41">
        <f>M82</f>
        <v>0</v>
      </c>
      <c r="BH82" s="21">
        <f>G82*AO82</f>
        <v>0</v>
      </c>
      <c r="BI82" s="21">
        <f>G82*AP82</f>
        <v>0</v>
      </c>
      <c r="BJ82" s="21">
        <f>G82*H82</f>
        <v>0</v>
      </c>
      <c r="BK82" s="21" t="s">
        <v>421</v>
      </c>
      <c r="BL82" s="41">
        <v>95</v>
      </c>
    </row>
    <row r="83" spans="1:64" ht="12.75">
      <c r="A83" s="4" t="s">
        <v>61</v>
      </c>
      <c r="B83" s="13"/>
      <c r="C83" s="13" t="s">
        <v>170</v>
      </c>
      <c r="D83" s="137" t="s">
        <v>291</v>
      </c>
      <c r="E83" s="138"/>
      <c r="F83" s="13" t="s">
        <v>346</v>
      </c>
      <c r="G83" s="21">
        <v>3</v>
      </c>
      <c r="H83" s="21">
        <v>0</v>
      </c>
      <c r="I83" s="21">
        <f>G83*AO83</f>
        <v>0</v>
      </c>
      <c r="J83" s="21">
        <f>G83*AP83</f>
        <v>0</v>
      </c>
      <c r="K83" s="21">
        <f>G83*H83</f>
        <v>0</v>
      </c>
      <c r="L83" s="21">
        <v>0.01134</v>
      </c>
      <c r="M83" s="21">
        <f>G83*L83</f>
        <v>0.034019999999999995</v>
      </c>
      <c r="N83" s="35" t="s">
        <v>372</v>
      </c>
      <c r="O83" s="39"/>
      <c r="Z83" s="41">
        <f>IF(AQ83="5",BJ83,0)</f>
        <v>0</v>
      </c>
      <c r="AB83" s="41">
        <f>IF(AQ83="1",BH83,0)</f>
        <v>0</v>
      </c>
      <c r="AC83" s="41">
        <f>IF(AQ83="1",BI83,0)</f>
        <v>0</v>
      </c>
      <c r="AD83" s="41">
        <f>IF(AQ83="7",BH83,0)</f>
        <v>0</v>
      </c>
      <c r="AE83" s="41">
        <f>IF(AQ83="7",BI83,0)</f>
        <v>0</v>
      </c>
      <c r="AF83" s="41">
        <f>IF(AQ83="2",BH83,0)</f>
        <v>0</v>
      </c>
      <c r="AG83" s="41">
        <f>IF(AQ83="2",BI83,0)</f>
        <v>0</v>
      </c>
      <c r="AH83" s="41">
        <f>IF(AQ83="0",BJ83,0)</f>
        <v>0</v>
      </c>
      <c r="AI83" s="31"/>
      <c r="AJ83" s="21">
        <f>IF(AN83=0,K83,0)</f>
        <v>0</v>
      </c>
      <c r="AK83" s="21">
        <f>IF(AN83=15,K83,0)</f>
        <v>0</v>
      </c>
      <c r="AL83" s="21">
        <f>IF(AN83=21,K83,0)</f>
        <v>0</v>
      </c>
      <c r="AN83" s="41">
        <v>15</v>
      </c>
      <c r="AO83" s="41">
        <f>H83*0.50921246923708</f>
        <v>0</v>
      </c>
      <c r="AP83" s="41">
        <f>H83*(1-0.50921246923708)</f>
        <v>0</v>
      </c>
      <c r="AQ83" s="42" t="s">
        <v>6</v>
      </c>
      <c r="AV83" s="41">
        <f>AW83+AX83</f>
        <v>0</v>
      </c>
      <c r="AW83" s="41">
        <f>G83*AO83</f>
        <v>0</v>
      </c>
      <c r="AX83" s="41">
        <f>G83*AP83</f>
        <v>0</v>
      </c>
      <c r="AY83" s="44" t="s">
        <v>399</v>
      </c>
      <c r="AZ83" s="44" t="s">
        <v>414</v>
      </c>
      <c r="BA83" s="31" t="s">
        <v>416</v>
      </c>
      <c r="BC83" s="41">
        <f>AW83+AX83</f>
        <v>0</v>
      </c>
      <c r="BD83" s="41">
        <f>H83/(100-BE83)*100</f>
        <v>0</v>
      </c>
      <c r="BE83" s="41">
        <v>0</v>
      </c>
      <c r="BF83" s="41">
        <f>M83</f>
        <v>0.034019999999999995</v>
      </c>
      <c r="BH83" s="21">
        <f>G83*AO83</f>
        <v>0</v>
      </c>
      <c r="BI83" s="21">
        <f>G83*AP83</f>
        <v>0</v>
      </c>
      <c r="BJ83" s="21">
        <f>G83*H83</f>
        <v>0</v>
      </c>
      <c r="BK83" s="21" t="s">
        <v>421</v>
      </c>
      <c r="BL83" s="41">
        <v>95</v>
      </c>
    </row>
    <row r="84" spans="1:47" ht="12.75">
      <c r="A84" s="5"/>
      <c r="B84" s="14"/>
      <c r="C84" s="14" t="s">
        <v>101</v>
      </c>
      <c r="D84" s="139" t="s">
        <v>292</v>
      </c>
      <c r="E84" s="140"/>
      <c r="F84" s="19" t="s">
        <v>5</v>
      </c>
      <c r="G84" s="19" t="s">
        <v>5</v>
      </c>
      <c r="H84" s="19" t="s">
        <v>5</v>
      </c>
      <c r="I84" s="47">
        <f>SUM(I85:I88)</f>
        <v>0</v>
      </c>
      <c r="J84" s="47">
        <f>SUM(J85:J88)</f>
        <v>0</v>
      </c>
      <c r="K84" s="47">
        <f>SUM(K85:K88)</f>
        <v>0</v>
      </c>
      <c r="L84" s="31"/>
      <c r="M84" s="47">
        <f>SUM(M85:M88)</f>
        <v>3.1718348</v>
      </c>
      <c r="N84" s="36"/>
      <c r="O84" s="39"/>
      <c r="AI84" s="31"/>
      <c r="AS84" s="47">
        <f>SUM(AJ85:AJ88)</f>
        <v>0</v>
      </c>
      <c r="AT84" s="47">
        <f>SUM(AK85:AK88)</f>
        <v>0</v>
      </c>
      <c r="AU84" s="47">
        <f>SUM(AL85:AL88)</f>
        <v>0</v>
      </c>
    </row>
    <row r="85" spans="1:64" ht="12.75">
      <c r="A85" s="4" t="s">
        <v>62</v>
      </c>
      <c r="B85" s="13"/>
      <c r="C85" s="13" t="s">
        <v>171</v>
      </c>
      <c r="D85" s="137" t="s">
        <v>293</v>
      </c>
      <c r="E85" s="138"/>
      <c r="F85" s="13" t="s">
        <v>344</v>
      </c>
      <c r="G85" s="21">
        <v>14</v>
      </c>
      <c r="H85" s="21">
        <v>0</v>
      </c>
      <c r="I85" s="21">
        <f>G85*AO85</f>
        <v>0</v>
      </c>
      <c r="J85" s="21">
        <f>G85*AP85</f>
        <v>0</v>
      </c>
      <c r="K85" s="21">
        <f>G85*H85</f>
        <v>0</v>
      </c>
      <c r="L85" s="21">
        <v>0</v>
      </c>
      <c r="M85" s="21">
        <f>G85*L85</f>
        <v>0</v>
      </c>
      <c r="N85" s="35" t="s">
        <v>372</v>
      </c>
      <c r="O85" s="39"/>
      <c r="Z85" s="41">
        <f>IF(AQ85="5",BJ85,0)</f>
        <v>0</v>
      </c>
      <c r="AB85" s="41">
        <f>IF(AQ85="1",BH85,0)</f>
        <v>0</v>
      </c>
      <c r="AC85" s="41">
        <f>IF(AQ85="1",BI85,0)</f>
        <v>0</v>
      </c>
      <c r="AD85" s="41">
        <f>IF(AQ85="7",BH85,0)</f>
        <v>0</v>
      </c>
      <c r="AE85" s="41">
        <f>IF(AQ85="7",BI85,0)</f>
        <v>0</v>
      </c>
      <c r="AF85" s="41">
        <f>IF(AQ85="2",BH85,0)</f>
        <v>0</v>
      </c>
      <c r="AG85" s="41">
        <f>IF(AQ85="2",BI85,0)</f>
        <v>0</v>
      </c>
      <c r="AH85" s="41">
        <f>IF(AQ85="0",BJ85,0)</f>
        <v>0</v>
      </c>
      <c r="AI85" s="31"/>
      <c r="AJ85" s="21">
        <f>IF(AN85=0,K85,0)</f>
        <v>0</v>
      </c>
      <c r="AK85" s="21">
        <f>IF(AN85=15,K85,0)</f>
        <v>0</v>
      </c>
      <c r="AL85" s="21">
        <f>IF(AN85=21,K85,0)</f>
        <v>0</v>
      </c>
      <c r="AN85" s="41">
        <v>15</v>
      </c>
      <c r="AO85" s="41">
        <f>H85*0</f>
        <v>0</v>
      </c>
      <c r="AP85" s="41">
        <f>H85*(1-0)</f>
        <v>0</v>
      </c>
      <c r="AQ85" s="42" t="s">
        <v>6</v>
      </c>
      <c r="AV85" s="41">
        <f>AW85+AX85</f>
        <v>0</v>
      </c>
      <c r="AW85" s="41">
        <f>G85*AO85</f>
        <v>0</v>
      </c>
      <c r="AX85" s="41">
        <f>G85*AP85</f>
        <v>0</v>
      </c>
      <c r="AY85" s="44" t="s">
        <v>400</v>
      </c>
      <c r="AZ85" s="44" t="s">
        <v>414</v>
      </c>
      <c r="BA85" s="31" t="s">
        <v>416</v>
      </c>
      <c r="BC85" s="41">
        <f>AW85+AX85</f>
        <v>0</v>
      </c>
      <c r="BD85" s="41">
        <f>H85/(100-BE85)*100</f>
        <v>0</v>
      </c>
      <c r="BE85" s="41">
        <v>0</v>
      </c>
      <c r="BF85" s="41">
        <f>M85</f>
        <v>0</v>
      </c>
      <c r="BH85" s="21">
        <f>G85*AO85</f>
        <v>0</v>
      </c>
      <c r="BI85" s="21">
        <f>G85*AP85</f>
        <v>0</v>
      </c>
      <c r="BJ85" s="21">
        <f>G85*H85</f>
        <v>0</v>
      </c>
      <c r="BK85" s="21" t="s">
        <v>421</v>
      </c>
      <c r="BL85" s="41">
        <v>96</v>
      </c>
    </row>
    <row r="86" spans="1:64" ht="12.75">
      <c r="A86" s="4" t="s">
        <v>63</v>
      </c>
      <c r="B86" s="13"/>
      <c r="C86" s="13" t="s">
        <v>172</v>
      </c>
      <c r="D86" s="137" t="s">
        <v>294</v>
      </c>
      <c r="E86" s="138"/>
      <c r="F86" s="13" t="s">
        <v>345</v>
      </c>
      <c r="G86" s="21">
        <v>11.6</v>
      </c>
      <c r="H86" s="21">
        <v>0</v>
      </c>
      <c r="I86" s="21">
        <f>G86*AO86</f>
        <v>0</v>
      </c>
      <c r="J86" s="21">
        <f>G86*AP86</f>
        <v>0</v>
      </c>
      <c r="K86" s="21">
        <f>G86*H86</f>
        <v>0</v>
      </c>
      <c r="L86" s="21">
        <v>0.07717</v>
      </c>
      <c r="M86" s="21">
        <f>G86*L86</f>
        <v>0.895172</v>
      </c>
      <c r="N86" s="35" t="s">
        <v>372</v>
      </c>
      <c r="O86" s="39"/>
      <c r="Z86" s="41">
        <f>IF(AQ86="5",BJ86,0)</f>
        <v>0</v>
      </c>
      <c r="AB86" s="41">
        <f>IF(AQ86="1",BH86,0)</f>
        <v>0</v>
      </c>
      <c r="AC86" s="41">
        <f>IF(AQ86="1",BI86,0)</f>
        <v>0</v>
      </c>
      <c r="AD86" s="41">
        <f>IF(AQ86="7",BH86,0)</f>
        <v>0</v>
      </c>
      <c r="AE86" s="41">
        <f>IF(AQ86="7",BI86,0)</f>
        <v>0</v>
      </c>
      <c r="AF86" s="41">
        <f>IF(AQ86="2",BH86,0)</f>
        <v>0</v>
      </c>
      <c r="AG86" s="41">
        <f>IF(AQ86="2",BI86,0)</f>
        <v>0</v>
      </c>
      <c r="AH86" s="41">
        <f>IF(AQ86="0",BJ86,0)</f>
        <v>0</v>
      </c>
      <c r="AI86" s="31"/>
      <c r="AJ86" s="21">
        <f>IF(AN86=0,K86,0)</f>
        <v>0</v>
      </c>
      <c r="AK86" s="21">
        <f>IF(AN86=15,K86,0)</f>
        <v>0</v>
      </c>
      <c r="AL86" s="21">
        <f>IF(AN86=21,K86,0)</f>
        <v>0</v>
      </c>
      <c r="AN86" s="41">
        <v>15</v>
      </c>
      <c r="AO86" s="41">
        <f>H86*0.0780175658720201</f>
        <v>0</v>
      </c>
      <c r="AP86" s="41">
        <f>H86*(1-0.0780175658720201)</f>
        <v>0</v>
      </c>
      <c r="AQ86" s="42" t="s">
        <v>6</v>
      </c>
      <c r="AV86" s="41">
        <f>AW86+AX86</f>
        <v>0</v>
      </c>
      <c r="AW86" s="41">
        <f>G86*AO86</f>
        <v>0</v>
      </c>
      <c r="AX86" s="41">
        <f>G86*AP86</f>
        <v>0</v>
      </c>
      <c r="AY86" s="44" t="s">
        <v>400</v>
      </c>
      <c r="AZ86" s="44" t="s">
        <v>414</v>
      </c>
      <c r="BA86" s="31" t="s">
        <v>416</v>
      </c>
      <c r="BC86" s="41">
        <f>AW86+AX86</f>
        <v>0</v>
      </c>
      <c r="BD86" s="41">
        <f>H86/(100-BE86)*100</f>
        <v>0</v>
      </c>
      <c r="BE86" s="41">
        <v>0</v>
      </c>
      <c r="BF86" s="41">
        <f>M86</f>
        <v>0.895172</v>
      </c>
      <c r="BH86" s="21">
        <f>G86*AO86</f>
        <v>0</v>
      </c>
      <c r="BI86" s="21">
        <f>G86*AP86</f>
        <v>0</v>
      </c>
      <c r="BJ86" s="21">
        <f>G86*H86</f>
        <v>0</v>
      </c>
      <c r="BK86" s="21" t="s">
        <v>421</v>
      </c>
      <c r="BL86" s="41">
        <v>96</v>
      </c>
    </row>
    <row r="87" spans="1:64" ht="12.75">
      <c r="A87" s="4" t="s">
        <v>64</v>
      </c>
      <c r="B87" s="13"/>
      <c r="C87" s="13" t="s">
        <v>173</v>
      </c>
      <c r="D87" s="137" t="s">
        <v>295</v>
      </c>
      <c r="E87" s="138"/>
      <c r="F87" s="13" t="s">
        <v>345</v>
      </c>
      <c r="G87" s="21">
        <v>41.79</v>
      </c>
      <c r="H87" s="21">
        <v>0</v>
      </c>
      <c r="I87" s="21">
        <f>G87*AO87</f>
        <v>0</v>
      </c>
      <c r="J87" s="21">
        <f>G87*AP87</f>
        <v>0</v>
      </c>
      <c r="K87" s="21">
        <f>G87*H87</f>
        <v>0</v>
      </c>
      <c r="L87" s="21">
        <v>0.05132</v>
      </c>
      <c r="M87" s="21">
        <f>G87*L87</f>
        <v>2.1446628</v>
      </c>
      <c r="N87" s="35" t="s">
        <v>372</v>
      </c>
      <c r="O87" s="39"/>
      <c r="Z87" s="41">
        <f>IF(AQ87="5",BJ87,0)</f>
        <v>0</v>
      </c>
      <c r="AB87" s="41">
        <f>IF(AQ87="1",BH87,0)</f>
        <v>0</v>
      </c>
      <c r="AC87" s="41">
        <f>IF(AQ87="1",BI87,0)</f>
        <v>0</v>
      </c>
      <c r="AD87" s="41">
        <f>IF(AQ87="7",BH87,0)</f>
        <v>0</v>
      </c>
      <c r="AE87" s="41">
        <f>IF(AQ87="7",BI87,0)</f>
        <v>0</v>
      </c>
      <c r="AF87" s="41">
        <f>IF(AQ87="2",BH87,0)</f>
        <v>0</v>
      </c>
      <c r="AG87" s="41">
        <f>IF(AQ87="2",BI87,0)</f>
        <v>0</v>
      </c>
      <c r="AH87" s="41">
        <f>IF(AQ87="0",BJ87,0)</f>
        <v>0</v>
      </c>
      <c r="AI87" s="31"/>
      <c r="AJ87" s="21">
        <f>IF(AN87=0,K87,0)</f>
        <v>0</v>
      </c>
      <c r="AK87" s="21">
        <f>IF(AN87=15,K87,0)</f>
        <v>0</v>
      </c>
      <c r="AL87" s="21">
        <f>IF(AN87=21,K87,0)</f>
        <v>0</v>
      </c>
      <c r="AN87" s="41">
        <v>15</v>
      </c>
      <c r="AO87" s="41">
        <f>H87*0.0390222222222222</f>
        <v>0</v>
      </c>
      <c r="AP87" s="41">
        <f>H87*(1-0.0390222222222222)</f>
        <v>0</v>
      </c>
      <c r="AQ87" s="42" t="s">
        <v>6</v>
      </c>
      <c r="AV87" s="41">
        <f>AW87+AX87</f>
        <v>0</v>
      </c>
      <c r="AW87" s="41">
        <f>G87*AO87</f>
        <v>0</v>
      </c>
      <c r="AX87" s="41">
        <f>G87*AP87</f>
        <v>0</v>
      </c>
      <c r="AY87" s="44" t="s">
        <v>400</v>
      </c>
      <c r="AZ87" s="44" t="s">
        <v>414</v>
      </c>
      <c r="BA87" s="31" t="s">
        <v>416</v>
      </c>
      <c r="BC87" s="41">
        <f>AW87+AX87</f>
        <v>0</v>
      </c>
      <c r="BD87" s="41">
        <f>H87/(100-BE87)*100</f>
        <v>0</v>
      </c>
      <c r="BE87" s="41">
        <v>0</v>
      </c>
      <c r="BF87" s="41">
        <f>M87</f>
        <v>2.1446628</v>
      </c>
      <c r="BH87" s="21">
        <f>G87*AO87</f>
        <v>0</v>
      </c>
      <c r="BI87" s="21">
        <f>G87*AP87</f>
        <v>0</v>
      </c>
      <c r="BJ87" s="21">
        <f>G87*H87</f>
        <v>0</v>
      </c>
      <c r="BK87" s="21" t="s">
        <v>421</v>
      </c>
      <c r="BL87" s="41">
        <v>96</v>
      </c>
    </row>
    <row r="88" spans="1:64" ht="12.75">
      <c r="A88" s="4" t="s">
        <v>65</v>
      </c>
      <c r="B88" s="13"/>
      <c r="C88" s="13" t="s">
        <v>174</v>
      </c>
      <c r="D88" s="137" t="s">
        <v>296</v>
      </c>
      <c r="E88" s="138"/>
      <c r="F88" s="13" t="s">
        <v>345</v>
      </c>
      <c r="G88" s="21">
        <v>2</v>
      </c>
      <c r="H88" s="21">
        <v>0</v>
      </c>
      <c r="I88" s="21">
        <f>G88*AO88</f>
        <v>0</v>
      </c>
      <c r="J88" s="21">
        <f>G88*AP88</f>
        <v>0</v>
      </c>
      <c r="K88" s="21">
        <f>G88*H88</f>
        <v>0</v>
      </c>
      <c r="L88" s="21">
        <v>0.066</v>
      </c>
      <c r="M88" s="21">
        <f>G88*L88</f>
        <v>0.132</v>
      </c>
      <c r="N88" s="35" t="s">
        <v>372</v>
      </c>
      <c r="O88" s="39"/>
      <c r="Z88" s="41">
        <f>IF(AQ88="5",BJ88,0)</f>
        <v>0</v>
      </c>
      <c r="AB88" s="41">
        <f>IF(AQ88="1",BH88,0)</f>
        <v>0</v>
      </c>
      <c r="AC88" s="41">
        <f>IF(AQ88="1",BI88,0)</f>
        <v>0</v>
      </c>
      <c r="AD88" s="41">
        <f>IF(AQ88="7",BH88,0)</f>
        <v>0</v>
      </c>
      <c r="AE88" s="41">
        <f>IF(AQ88="7",BI88,0)</f>
        <v>0</v>
      </c>
      <c r="AF88" s="41">
        <f>IF(AQ88="2",BH88,0)</f>
        <v>0</v>
      </c>
      <c r="AG88" s="41">
        <f>IF(AQ88="2",BI88,0)</f>
        <v>0</v>
      </c>
      <c r="AH88" s="41">
        <f>IF(AQ88="0",BJ88,0)</f>
        <v>0</v>
      </c>
      <c r="AI88" s="31"/>
      <c r="AJ88" s="21">
        <f>IF(AN88=0,K88,0)</f>
        <v>0</v>
      </c>
      <c r="AK88" s="21">
        <f>IF(AN88=15,K88,0)</f>
        <v>0</v>
      </c>
      <c r="AL88" s="21">
        <f>IF(AN88=21,K88,0)</f>
        <v>0</v>
      </c>
      <c r="AN88" s="41">
        <v>15</v>
      </c>
      <c r="AO88" s="41">
        <f>H88*0</f>
        <v>0</v>
      </c>
      <c r="AP88" s="41">
        <f>H88*(1-0)</f>
        <v>0</v>
      </c>
      <c r="AQ88" s="42" t="s">
        <v>6</v>
      </c>
      <c r="AV88" s="41">
        <f>AW88+AX88</f>
        <v>0</v>
      </c>
      <c r="AW88" s="41">
        <f>G88*AO88</f>
        <v>0</v>
      </c>
      <c r="AX88" s="41">
        <f>G88*AP88</f>
        <v>0</v>
      </c>
      <c r="AY88" s="44" t="s">
        <v>400</v>
      </c>
      <c r="AZ88" s="44" t="s">
        <v>414</v>
      </c>
      <c r="BA88" s="31" t="s">
        <v>416</v>
      </c>
      <c r="BC88" s="41">
        <f>AW88+AX88</f>
        <v>0</v>
      </c>
      <c r="BD88" s="41">
        <f>H88/(100-BE88)*100</f>
        <v>0</v>
      </c>
      <c r="BE88" s="41">
        <v>0</v>
      </c>
      <c r="BF88" s="41">
        <f>M88</f>
        <v>0.132</v>
      </c>
      <c r="BH88" s="21">
        <f>G88*AO88</f>
        <v>0</v>
      </c>
      <c r="BI88" s="21">
        <f>G88*AP88</f>
        <v>0</v>
      </c>
      <c r="BJ88" s="21">
        <f>G88*H88</f>
        <v>0</v>
      </c>
      <c r="BK88" s="21" t="s">
        <v>421</v>
      </c>
      <c r="BL88" s="41">
        <v>96</v>
      </c>
    </row>
    <row r="89" spans="1:47" ht="12.75">
      <c r="A89" s="5"/>
      <c r="B89" s="14"/>
      <c r="C89" s="14" t="s">
        <v>175</v>
      </c>
      <c r="D89" s="139" t="s">
        <v>297</v>
      </c>
      <c r="E89" s="140"/>
      <c r="F89" s="19" t="s">
        <v>5</v>
      </c>
      <c r="G89" s="19" t="s">
        <v>5</v>
      </c>
      <c r="H89" s="19" t="s">
        <v>5</v>
      </c>
      <c r="I89" s="47">
        <f>SUM(I90:I90)</f>
        <v>0</v>
      </c>
      <c r="J89" s="47">
        <f>SUM(J90:J90)</f>
        <v>0</v>
      </c>
      <c r="K89" s="47">
        <f>SUM(K90:K90)</f>
        <v>0</v>
      </c>
      <c r="L89" s="31"/>
      <c r="M89" s="47">
        <f>SUM(M90:M90)</f>
        <v>0.09033</v>
      </c>
      <c r="N89" s="36"/>
      <c r="O89" s="39"/>
      <c r="AI89" s="31"/>
      <c r="AS89" s="47">
        <f>SUM(AJ90:AJ90)</f>
        <v>0</v>
      </c>
      <c r="AT89" s="47">
        <f>SUM(AK90:AK90)</f>
        <v>0</v>
      </c>
      <c r="AU89" s="47">
        <f>SUM(AL90:AL90)</f>
        <v>0</v>
      </c>
    </row>
    <row r="90" spans="1:64" ht="12.75">
      <c r="A90" s="4" t="s">
        <v>66</v>
      </c>
      <c r="B90" s="13"/>
      <c r="C90" s="13" t="s">
        <v>176</v>
      </c>
      <c r="D90" s="137" t="s">
        <v>298</v>
      </c>
      <c r="E90" s="138"/>
      <c r="F90" s="13" t="s">
        <v>344</v>
      </c>
      <c r="G90" s="21">
        <v>1</v>
      </c>
      <c r="H90" s="21">
        <v>0</v>
      </c>
      <c r="I90" s="21">
        <f>G90*AO90</f>
        <v>0</v>
      </c>
      <c r="J90" s="21">
        <f>G90*AP90</f>
        <v>0</v>
      </c>
      <c r="K90" s="21">
        <f>G90*H90</f>
        <v>0</v>
      </c>
      <c r="L90" s="21">
        <v>0.09033</v>
      </c>
      <c r="M90" s="21">
        <f>G90*L90</f>
        <v>0.09033</v>
      </c>
      <c r="N90" s="35" t="s">
        <v>372</v>
      </c>
      <c r="O90" s="39"/>
      <c r="Z90" s="41">
        <f>IF(AQ90="5",BJ90,0)</f>
        <v>0</v>
      </c>
      <c r="AB90" s="41">
        <f>IF(AQ90="1",BH90,0)</f>
        <v>0</v>
      </c>
      <c r="AC90" s="41">
        <f>IF(AQ90="1",BI90,0)</f>
        <v>0</v>
      </c>
      <c r="AD90" s="41">
        <f>IF(AQ90="7",BH90,0)</f>
        <v>0</v>
      </c>
      <c r="AE90" s="41">
        <f>IF(AQ90="7",BI90,0)</f>
        <v>0</v>
      </c>
      <c r="AF90" s="41">
        <f>IF(AQ90="2",BH90,0)</f>
        <v>0</v>
      </c>
      <c r="AG90" s="41">
        <f>IF(AQ90="2",BI90,0)</f>
        <v>0</v>
      </c>
      <c r="AH90" s="41">
        <f>IF(AQ90="0",BJ90,0)</f>
        <v>0</v>
      </c>
      <c r="AI90" s="31"/>
      <c r="AJ90" s="21">
        <f>IF(AN90=0,K90,0)</f>
        <v>0</v>
      </c>
      <c r="AK90" s="21">
        <f>IF(AN90=15,K90,0)</f>
        <v>0</v>
      </c>
      <c r="AL90" s="21">
        <f>IF(AN90=21,K90,0)</f>
        <v>0</v>
      </c>
      <c r="AN90" s="41">
        <v>15</v>
      </c>
      <c r="AO90" s="41">
        <f>H90*0.0328107606679035</f>
        <v>0</v>
      </c>
      <c r="AP90" s="41">
        <f>H90*(1-0.0328107606679035)</f>
        <v>0</v>
      </c>
      <c r="AQ90" s="42" t="s">
        <v>6</v>
      </c>
      <c r="AV90" s="41">
        <f>AW90+AX90</f>
        <v>0</v>
      </c>
      <c r="AW90" s="41">
        <f>G90*AO90</f>
        <v>0</v>
      </c>
      <c r="AX90" s="41">
        <f>G90*AP90</f>
        <v>0</v>
      </c>
      <c r="AY90" s="44" t="s">
        <v>401</v>
      </c>
      <c r="AZ90" s="44" t="s">
        <v>414</v>
      </c>
      <c r="BA90" s="31" t="s">
        <v>416</v>
      </c>
      <c r="BC90" s="41">
        <f>AW90+AX90</f>
        <v>0</v>
      </c>
      <c r="BD90" s="41">
        <f>H90/(100-BE90)*100</f>
        <v>0</v>
      </c>
      <c r="BE90" s="41">
        <v>0</v>
      </c>
      <c r="BF90" s="41">
        <f>M90</f>
        <v>0.09033</v>
      </c>
      <c r="BH90" s="21">
        <f>G90*AO90</f>
        <v>0</v>
      </c>
      <c r="BI90" s="21">
        <f>G90*AP90</f>
        <v>0</v>
      </c>
      <c r="BJ90" s="21">
        <f>G90*H90</f>
        <v>0</v>
      </c>
      <c r="BK90" s="21" t="s">
        <v>421</v>
      </c>
      <c r="BL90" s="41">
        <v>97</v>
      </c>
    </row>
    <row r="91" spans="1:47" ht="12.75">
      <c r="A91" s="5"/>
      <c r="B91" s="14"/>
      <c r="C91" s="14" t="s">
        <v>177</v>
      </c>
      <c r="D91" s="139" t="s">
        <v>299</v>
      </c>
      <c r="E91" s="140"/>
      <c r="F91" s="19" t="s">
        <v>5</v>
      </c>
      <c r="G91" s="19" t="s">
        <v>5</v>
      </c>
      <c r="H91" s="19" t="s">
        <v>5</v>
      </c>
      <c r="I91" s="47">
        <f>SUM(I92:I92)</f>
        <v>0</v>
      </c>
      <c r="J91" s="47">
        <f>SUM(J92:J92)</f>
        <v>0</v>
      </c>
      <c r="K91" s="47">
        <f>SUM(K92:K92)</f>
        <v>0</v>
      </c>
      <c r="L91" s="31"/>
      <c r="M91" s="47">
        <f>SUM(M92:M92)</f>
        <v>0</v>
      </c>
      <c r="N91" s="36"/>
      <c r="O91" s="39"/>
      <c r="AI91" s="31"/>
      <c r="AS91" s="47">
        <f>SUM(AJ92:AJ92)</f>
        <v>0</v>
      </c>
      <c r="AT91" s="47">
        <f>SUM(AK92:AK92)</f>
        <v>0</v>
      </c>
      <c r="AU91" s="47">
        <f>SUM(AL92:AL92)</f>
        <v>0</v>
      </c>
    </row>
    <row r="92" spans="1:64" ht="12.75">
      <c r="A92" s="4" t="s">
        <v>67</v>
      </c>
      <c r="B92" s="13"/>
      <c r="C92" s="13" t="s">
        <v>178</v>
      </c>
      <c r="D92" s="137" t="s">
        <v>300</v>
      </c>
      <c r="E92" s="138"/>
      <c r="F92" s="13" t="s">
        <v>348</v>
      </c>
      <c r="G92" s="21">
        <v>7.738</v>
      </c>
      <c r="H92" s="21">
        <v>0</v>
      </c>
      <c r="I92" s="21">
        <f>G92*AO92</f>
        <v>0</v>
      </c>
      <c r="J92" s="21">
        <f>G92*AP92</f>
        <v>0</v>
      </c>
      <c r="K92" s="21">
        <f>G92*H92</f>
        <v>0</v>
      </c>
      <c r="L92" s="21">
        <v>0</v>
      </c>
      <c r="M92" s="21">
        <f>G92*L92</f>
        <v>0</v>
      </c>
      <c r="N92" s="35" t="s">
        <v>372</v>
      </c>
      <c r="O92" s="39"/>
      <c r="Z92" s="41">
        <f>IF(AQ92="5",BJ92,0)</f>
        <v>0</v>
      </c>
      <c r="AB92" s="41">
        <f>IF(AQ92="1",BH92,0)</f>
        <v>0</v>
      </c>
      <c r="AC92" s="41">
        <f>IF(AQ92="1",BI92,0)</f>
        <v>0</v>
      </c>
      <c r="AD92" s="41">
        <f>IF(AQ92="7",BH92,0)</f>
        <v>0</v>
      </c>
      <c r="AE92" s="41">
        <f>IF(AQ92="7",BI92,0)</f>
        <v>0</v>
      </c>
      <c r="AF92" s="41">
        <f>IF(AQ92="2",BH92,0)</f>
        <v>0</v>
      </c>
      <c r="AG92" s="41">
        <f>IF(AQ92="2",BI92,0)</f>
        <v>0</v>
      </c>
      <c r="AH92" s="41">
        <f>IF(AQ92="0",BJ92,0)</f>
        <v>0</v>
      </c>
      <c r="AI92" s="31"/>
      <c r="AJ92" s="21">
        <f>IF(AN92=0,K92,0)</f>
        <v>0</v>
      </c>
      <c r="AK92" s="21">
        <f>IF(AN92=15,K92,0)</f>
        <v>0</v>
      </c>
      <c r="AL92" s="21">
        <f>IF(AN92=21,K92,0)</f>
        <v>0</v>
      </c>
      <c r="AN92" s="41">
        <v>15</v>
      </c>
      <c r="AO92" s="41">
        <f>H92*0</f>
        <v>0</v>
      </c>
      <c r="AP92" s="41">
        <f>H92*(1-0)</f>
        <v>0</v>
      </c>
      <c r="AQ92" s="42" t="s">
        <v>10</v>
      </c>
      <c r="AV92" s="41">
        <f>AW92+AX92</f>
        <v>0</v>
      </c>
      <c r="AW92" s="41">
        <f>G92*AO92</f>
        <v>0</v>
      </c>
      <c r="AX92" s="41">
        <f>G92*AP92</f>
        <v>0</v>
      </c>
      <c r="AY92" s="44" t="s">
        <v>402</v>
      </c>
      <c r="AZ92" s="44" t="s">
        <v>414</v>
      </c>
      <c r="BA92" s="31" t="s">
        <v>416</v>
      </c>
      <c r="BC92" s="41">
        <f>AW92+AX92</f>
        <v>0</v>
      </c>
      <c r="BD92" s="41">
        <f>H92/(100-BE92)*100</f>
        <v>0</v>
      </c>
      <c r="BE92" s="41">
        <v>0</v>
      </c>
      <c r="BF92" s="41">
        <f>M92</f>
        <v>0</v>
      </c>
      <c r="BH92" s="21">
        <f>G92*AO92</f>
        <v>0</v>
      </c>
      <c r="BI92" s="21">
        <f>G92*AP92</f>
        <v>0</v>
      </c>
      <c r="BJ92" s="21">
        <f>G92*H92</f>
        <v>0</v>
      </c>
      <c r="BK92" s="21" t="s">
        <v>421</v>
      </c>
      <c r="BL92" s="41" t="s">
        <v>177</v>
      </c>
    </row>
    <row r="93" spans="1:47" ht="12.75">
      <c r="A93" s="5"/>
      <c r="B93" s="14"/>
      <c r="C93" s="14" t="s">
        <v>179</v>
      </c>
      <c r="D93" s="139" t="s">
        <v>301</v>
      </c>
      <c r="E93" s="140"/>
      <c r="F93" s="19" t="s">
        <v>5</v>
      </c>
      <c r="G93" s="19" t="s">
        <v>5</v>
      </c>
      <c r="H93" s="19" t="s">
        <v>5</v>
      </c>
      <c r="I93" s="47">
        <f>SUM(I94:I95)</f>
        <v>0</v>
      </c>
      <c r="J93" s="47">
        <f>SUM(J94:J95)</f>
        <v>0</v>
      </c>
      <c r="K93" s="47">
        <f>SUM(K94:K95)</f>
        <v>0</v>
      </c>
      <c r="L93" s="31"/>
      <c r="M93" s="47">
        <f>SUM(M94:M95)</f>
        <v>0</v>
      </c>
      <c r="N93" s="36"/>
      <c r="O93" s="39"/>
      <c r="AI93" s="31"/>
      <c r="AS93" s="47">
        <f>SUM(AJ94:AJ95)</f>
        <v>0</v>
      </c>
      <c r="AT93" s="47">
        <f>SUM(AK94:AK95)</f>
        <v>0</v>
      </c>
      <c r="AU93" s="47">
        <f>SUM(AL94:AL95)</f>
        <v>0</v>
      </c>
    </row>
    <row r="94" spans="1:64" ht="12.75">
      <c r="A94" s="4" t="s">
        <v>68</v>
      </c>
      <c r="B94" s="13"/>
      <c r="C94" s="13" t="s">
        <v>180</v>
      </c>
      <c r="D94" s="137" t="s">
        <v>302</v>
      </c>
      <c r="E94" s="138"/>
      <c r="F94" s="13" t="s">
        <v>344</v>
      </c>
      <c r="G94" s="21">
        <v>1</v>
      </c>
      <c r="H94" s="21">
        <v>0</v>
      </c>
      <c r="I94" s="21">
        <f>G94*AO94</f>
        <v>0</v>
      </c>
      <c r="J94" s="21">
        <f>G94*AP94</f>
        <v>0</v>
      </c>
      <c r="K94" s="21">
        <f>G94*H94</f>
        <v>0</v>
      </c>
      <c r="L94" s="21">
        <v>0</v>
      </c>
      <c r="M94" s="21">
        <f>G94*L94</f>
        <v>0</v>
      </c>
      <c r="N94" s="35" t="s">
        <v>372</v>
      </c>
      <c r="O94" s="39"/>
      <c r="Z94" s="41">
        <f>IF(AQ94="5",BJ94,0)</f>
        <v>0</v>
      </c>
      <c r="AB94" s="41">
        <f>IF(AQ94="1",BH94,0)</f>
        <v>0</v>
      </c>
      <c r="AC94" s="41">
        <f>IF(AQ94="1",BI94,0)</f>
        <v>0</v>
      </c>
      <c r="AD94" s="41">
        <f>IF(AQ94="7",BH94,0)</f>
        <v>0</v>
      </c>
      <c r="AE94" s="41">
        <f>IF(AQ94="7",BI94,0)</f>
        <v>0</v>
      </c>
      <c r="AF94" s="41">
        <f>IF(AQ94="2",BH94,0)</f>
        <v>0</v>
      </c>
      <c r="AG94" s="41">
        <f>IF(AQ94="2",BI94,0)</f>
        <v>0</v>
      </c>
      <c r="AH94" s="41">
        <f>IF(AQ94="0",BJ94,0)</f>
        <v>0</v>
      </c>
      <c r="AI94" s="31"/>
      <c r="AJ94" s="21">
        <f>IF(AN94=0,K94,0)</f>
        <v>0</v>
      </c>
      <c r="AK94" s="21">
        <f>IF(AN94=15,K94,0)</f>
        <v>0</v>
      </c>
      <c r="AL94" s="21">
        <f>IF(AN94=21,K94,0)</f>
        <v>0</v>
      </c>
      <c r="AN94" s="41">
        <v>15</v>
      </c>
      <c r="AO94" s="41">
        <f>H94*0</f>
        <v>0</v>
      </c>
      <c r="AP94" s="41">
        <f>H94*(1-0)</f>
        <v>0</v>
      </c>
      <c r="AQ94" s="42" t="s">
        <v>7</v>
      </c>
      <c r="AV94" s="41">
        <f>AW94+AX94</f>
        <v>0</v>
      </c>
      <c r="AW94" s="41">
        <f>G94*AO94</f>
        <v>0</v>
      </c>
      <c r="AX94" s="41">
        <f>G94*AP94</f>
        <v>0</v>
      </c>
      <c r="AY94" s="44" t="s">
        <v>403</v>
      </c>
      <c r="AZ94" s="44" t="s">
        <v>414</v>
      </c>
      <c r="BA94" s="31" t="s">
        <v>416</v>
      </c>
      <c r="BC94" s="41">
        <f>AW94+AX94</f>
        <v>0</v>
      </c>
      <c r="BD94" s="41">
        <f>H94/(100-BE94)*100</f>
        <v>0</v>
      </c>
      <c r="BE94" s="41">
        <v>0</v>
      </c>
      <c r="BF94" s="41">
        <f>M94</f>
        <v>0</v>
      </c>
      <c r="BH94" s="21">
        <f>G94*AO94</f>
        <v>0</v>
      </c>
      <c r="BI94" s="21">
        <f>G94*AP94</f>
        <v>0</v>
      </c>
      <c r="BJ94" s="21">
        <f>G94*H94</f>
        <v>0</v>
      </c>
      <c r="BK94" s="21" t="s">
        <v>421</v>
      </c>
      <c r="BL94" s="41" t="s">
        <v>179</v>
      </c>
    </row>
    <row r="95" spans="1:64" ht="12.75">
      <c r="A95" s="4" t="s">
        <v>69</v>
      </c>
      <c r="B95" s="13"/>
      <c r="C95" s="13" t="s">
        <v>181</v>
      </c>
      <c r="D95" s="137" t="s">
        <v>303</v>
      </c>
      <c r="E95" s="138"/>
      <c r="F95" s="13" t="s">
        <v>344</v>
      </c>
      <c r="G95" s="21">
        <v>1</v>
      </c>
      <c r="H95" s="21">
        <v>0</v>
      </c>
      <c r="I95" s="21">
        <f>G95*AO95</f>
        <v>0</v>
      </c>
      <c r="J95" s="21">
        <f>G95*AP95</f>
        <v>0</v>
      </c>
      <c r="K95" s="21">
        <f>G95*H95</f>
        <v>0</v>
      </c>
      <c r="L95" s="21">
        <v>0</v>
      </c>
      <c r="M95" s="21">
        <f>G95*L95</f>
        <v>0</v>
      </c>
      <c r="N95" s="35" t="s">
        <v>373</v>
      </c>
      <c r="O95" s="39"/>
      <c r="Z95" s="41">
        <f>IF(AQ95="5",BJ95,0)</f>
        <v>0</v>
      </c>
      <c r="AB95" s="41">
        <f>IF(AQ95="1",BH95,0)</f>
        <v>0</v>
      </c>
      <c r="AC95" s="41">
        <f>IF(AQ95="1",BI95,0)</f>
        <v>0</v>
      </c>
      <c r="AD95" s="41">
        <f>IF(AQ95="7",BH95,0)</f>
        <v>0</v>
      </c>
      <c r="AE95" s="41">
        <f>IF(AQ95="7",BI95,0)</f>
        <v>0</v>
      </c>
      <c r="AF95" s="41">
        <f>IF(AQ95="2",BH95,0)</f>
        <v>0</v>
      </c>
      <c r="AG95" s="41">
        <f>IF(AQ95="2",BI95,0)</f>
        <v>0</v>
      </c>
      <c r="AH95" s="41">
        <f>IF(AQ95="0",BJ95,0)</f>
        <v>0</v>
      </c>
      <c r="AI95" s="31"/>
      <c r="AJ95" s="21">
        <f>IF(AN95=0,K95,0)</f>
        <v>0</v>
      </c>
      <c r="AK95" s="21">
        <f>IF(AN95=15,K95,0)</f>
        <v>0</v>
      </c>
      <c r="AL95" s="21">
        <f>IF(AN95=21,K95,0)</f>
        <v>0</v>
      </c>
      <c r="AN95" s="41">
        <v>15</v>
      </c>
      <c r="AO95" s="41">
        <f>H95*0</f>
        <v>0</v>
      </c>
      <c r="AP95" s="41">
        <f>H95*(1-0)</f>
        <v>0</v>
      </c>
      <c r="AQ95" s="42" t="s">
        <v>7</v>
      </c>
      <c r="AV95" s="41">
        <f>AW95+AX95</f>
        <v>0</v>
      </c>
      <c r="AW95" s="41">
        <f>G95*AO95</f>
        <v>0</v>
      </c>
      <c r="AX95" s="41">
        <f>G95*AP95</f>
        <v>0</v>
      </c>
      <c r="AY95" s="44" t="s">
        <v>403</v>
      </c>
      <c r="AZ95" s="44" t="s">
        <v>414</v>
      </c>
      <c r="BA95" s="31" t="s">
        <v>416</v>
      </c>
      <c r="BC95" s="41">
        <f>AW95+AX95</f>
        <v>0</v>
      </c>
      <c r="BD95" s="41">
        <f>H95/(100-BE95)*100</f>
        <v>0</v>
      </c>
      <c r="BE95" s="41">
        <v>0</v>
      </c>
      <c r="BF95" s="41">
        <f>M95</f>
        <v>0</v>
      </c>
      <c r="BH95" s="21">
        <f>G95*AO95</f>
        <v>0</v>
      </c>
      <c r="BI95" s="21">
        <f>G95*AP95</f>
        <v>0</v>
      </c>
      <c r="BJ95" s="21">
        <f>G95*H95</f>
        <v>0</v>
      </c>
      <c r="BK95" s="21" t="s">
        <v>421</v>
      </c>
      <c r="BL95" s="41" t="s">
        <v>179</v>
      </c>
    </row>
    <row r="96" spans="1:47" ht="12.75">
      <c r="A96" s="5"/>
      <c r="B96" s="14"/>
      <c r="C96" s="14" t="s">
        <v>182</v>
      </c>
      <c r="D96" s="139" t="s">
        <v>304</v>
      </c>
      <c r="E96" s="140"/>
      <c r="F96" s="19" t="s">
        <v>5</v>
      </c>
      <c r="G96" s="19" t="s">
        <v>5</v>
      </c>
      <c r="H96" s="19" t="s">
        <v>5</v>
      </c>
      <c r="I96" s="47">
        <f>SUM(I97:I97)</f>
        <v>0</v>
      </c>
      <c r="J96" s="47">
        <f>SUM(J97:J97)</f>
        <v>0</v>
      </c>
      <c r="K96" s="47">
        <f>SUM(K97:K97)</f>
        <v>0</v>
      </c>
      <c r="L96" s="31"/>
      <c r="M96" s="47">
        <f>SUM(M97:M97)</f>
        <v>0.00013</v>
      </c>
      <c r="N96" s="36"/>
      <c r="O96" s="39"/>
      <c r="AI96" s="31"/>
      <c r="AS96" s="47">
        <f>SUM(AJ97:AJ97)</f>
        <v>0</v>
      </c>
      <c r="AT96" s="47">
        <f>SUM(AK97:AK97)</f>
        <v>0</v>
      </c>
      <c r="AU96" s="47">
        <f>SUM(AL97:AL97)</f>
        <v>0</v>
      </c>
    </row>
    <row r="97" spans="1:64" ht="12.75">
      <c r="A97" s="4" t="s">
        <v>70</v>
      </c>
      <c r="B97" s="13"/>
      <c r="C97" s="13" t="s">
        <v>183</v>
      </c>
      <c r="D97" s="137" t="s">
        <v>305</v>
      </c>
      <c r="E97" s="138"/>
      <c r="F97" s="13" t="s">
        <v>344</v>
      </c>
      <c r="G97" s="21">
        <v>1</v>
      </c>
      <c r="H97" s="21">
        <v>0</v>
      </c>
      <c r="I97" s="21">
        <f>G97*AO97</f>
        <v>0</v>
      </c>
      <c r="J97" s="21">
        <f>G97*AP97</f>
        <v>0</v>
      </c>
      <c r="K97" s="21">
        <f>G97*H97</f>
        <v>0</v>
      </c>
      <c r="L97" s="21">
        <v>0.00013</v>
      </c>
      <c r="M97" s="21">
        <f>G97*L97</f>
        <v>0.00013</v>
      </c>
      <c r="N97" s="35" t="s">
        <v>372</v>
      </c>
      <c r="O97" s="39"/>
      <c r="Z97" s="41">
        <f>IF(AQ97="5",BJ97,0)</f>
        <v>0</v>
      </c>
      <c r="AB97" s="41">
        <f>IF(AQ97="1",BH97,0)</f>
        <v>0</v>
      </c>
      <c r="AC97" s="41">
        <f>IF(AQ97="1",BI97,0)</f>
        <v>0</v>
      </c>
      <c r="AD97" s="41">
        <f>IF(AQ97="7",BH97,0)</f>
        <v>0</v>
      </c>
      <c r="AE97" s="41">
        <f>IF(AQ97="7",BI97,0)</f>
        <v>0</v>
      </c>
      <c r="AF97" s="41">
        <f>IF(AQ97="2",BH97,0)</f>
        <v>0</v>
      </c>
      <c r="AG97" s="41">
        <f>IF(AQ97="2",BI97,0)</f>
        <v>0</v>
      </c>
      <c r="AH97" s="41">
        <f>IF(AQ97="0",BJ97,0)</f>
        <v>0</v>
      </c>
      <c r="AI97" s="31"/>
      <c r="AJ97" s="21">
        <f>IF(AN97=0,K97,0)</f>
        <v>0</v>
      </c>
      <c r="AK97" s="21">
        <f>IF(AN97=15,K97,0)</f>
        <v>0</v>
      </c>
      <c r="AL97" s="21">
        <f>IF(AN97=21,K97,0)</f>
        <v>0</v>
      </c>
      <c r="AN97" s="41">
        <v>15</v>
      </c>
      <c r="AO97" s="41">
        <f>H97*0.0852730349755547</f>
        <v>0</v>
      </c>
      <c r="AP97" s="41">
        <f>H97*(1-0.0852730349755547)</f>
        <v>0</v>
      </c>
      <c r="AQ97" s="42" t="s">
        <v>7</v>
      </c>
      <c r="AV97" s="41">
        <f>AW97+AX97</f>
        <v>0</v>
      </c>
      <c r="AW97" s="41">
        <f>G97*AO97</f>
        <v>0</v>
      </c>
      <c r="AX97" s="41">
        <f>G97*AP97</f>
        <v>0</v>
      </c>
      <c r="AY97" s="44" t="s">
        <v>404</v>
      </c>
      <c r="AZ97" s="44" t="s">
        <v>414</v>
      </c>
      <c r="BA97" s="31" t="s">
        <v>416</v>
      </c>
      <c r="BC97" s="41">
        <f>AW97+AX97</f>
        <v>0</v>
      </c>
      <c r="BD97" s="41">
        <f>H97/(100-BE97)*100</f>
        <v>0</v>
      </c>
      <c r="BE97" s="41">
        <v>0</v>
      </c>
      <c r="BF97" s="41">
        <f>M97</f>
        <v>0.00013</v>
      </c>
      <c r="BH97" s="21">
        <f>G97*AO97</f>
        <v>0</v>
      </c>
      <c r="BI97" s="21">
        <f>G97*AP97</f>
        <v>0</v>
      </c>
      <c r="BJ97" s="21">
        <f>G97*H97</f>
        <v>0</v>
      </c>
      <c r="BK97" s="21" t="s">
        <v>421</v>
      </c>
      <c r="BL97" s="41" t="s">
        <v>182</v>
      </c>
    </row>
    <row r="98" spans="1:47" ht="12.75">
      <c r="A98" s="5"/>
      <c r="B98" s="14"/>
      <c r="C98" s="14" t="s">
        <v>184</v>
      </c>
      <c r="D98" s="139" t="s">
        <v>306</v>
      </c>
      <c r="E98" s="140"/>
      <c r="F98" s="19" t="s">
        <v>5</v>
      </c>
      <c r="G98" s="19" t="s">
        <v>5</v>
      </c>
      <c r="H98" s="19"/>
      <c r="I98" s="47">
        <f>SUM(I99:I106)</f>
        <v>0</v>
      </c>
      <c r="J98" s="47">
        <f>SUM(J99:J106)</f>
        <v>0</v>
      </c>
      <c r="K98" s="47">
        <f>SUM(K99:K106)</f>
        <v>0</v>
      </c>
      <c r="L98" s="31"/>
      <c r="M98" s="47">
        <f>SUM(M99:M106)</f>
        <v>0</v>
      </c>
      <c r="N98" s="36"/>
      <c r="O98" s="39"/>
      <c r="AI98" s="31"/>
      <c r="AS98" s="47">
        <f>SUM(AJ99:AJ106)</f>
        <v>0</v>
      </c>
      <c r="AT98" s="47">
        <f>SUM(AK99:AK106)</f>
        <v>0</v>
      </c>
      <c r="AU98" s="47">
        <f>SUM(AL99:AL106)</f>
        <v>0</v>
      </c>
    </row>
    <row r="99" spans="1:64" ht="12.75">
      <c r="A99" s="4" t="s">
        <v>71</v>
      </c>
      <c r="B99" s="13"/>
      <c r="C99" s="13" t="s">
        <v>185</v>
      </c>
      <c r="D99" s="137" t="s">
        <v>307</v>
      </c>
      <c r="E99" s="138"/>
      <c r="F99" s="13" t="s">
        <v>348</v>
      </c>
      <c r="G99" s="21">
        <v>3.87</v>
      </c>
      <c r="H99" s="21">
        <v>0</v>
      </c>
      <c r="I99" s="21">
        <f aca="true" t="shared" si="72" ref="I99:I106">G99*AO99</f>
        <v>0</v>
      </c>
      <c r="J99" s="21">
        <f aca="true" t="shared" si="73" ref="J99:J106">G99*AP99</f>
        <v>0</v>
      </c>
      <c r="K99" s="21">
        <f aca="true" t="shared" si="74" ref="K99:K106">G99*H99</f>
        <v>0</v>
      </c>
      <c r="L99" s="21">
        <v>0</v>
      </c>
      <c r="M99" s="21">
        <f aca="true" t="shared" si="75" ref="M99:M106">G99*L99</f>
        <v>0</v>
      </c>
      <c r="N99" s="35" t="s">
        <v>372</v>
      </c>
      <c r="O99" s="39"/>
      <c r="Z99" s="41">
        <f aca="true" t="shared" si="76" ref="Z99:Z106">IF(AQ99="5",BJ99,0)</f>
        <v>0</v>
      </c>
      <c r="AB99" s="41">
        <f aca="true" t="shared" si="77" ref="AB99:AB106">IF(AQ99="1",BH99,0)</f>
        <v>0</v>
      </c>
      <c r="AC99" s="41">
        <f aca="true" t="shared" si="78" ref="AC99:AC106">IF(AQ99="1",BI99,0)</f>
        <v>0</v>
      </c>
      <c r="AD99" s="41">
        <f aca="true" t="shared" si="79" ref="AD99:AD106">IF(AQ99="7",BH99,0)</f>
        <v>0</v>
      </c>
      <c r="AE99" s="41">
        <f aca="true" t="shared" si="80" ref="AE99:AE106">IF(AQ99="7",BI99,0)</f>
        <v>0</v>
      </c>
      <c r="AF99" s="41">
        <f aca="true" t="shared" si="81" ref="AF99:AF106">IF(AQ99="2",BH99,0)</f>
        <v>0</v>
      </c>
      <c r="AG99" s="41">
        <f aca="true" t="shared" si="82" ref="AG99:AG106">IF(AQ99="2",BI99,0)</f>
        <v>0</v>
      </c>
      <c r="AH99" s="41">
        <f aca="true" t="shared" si="83" ref="AH99:AH106">IF(AQ99="0",BJ99,0)</f>
        <v>0</v>
      </c>
      <c r="AI99" s="31"/>
      <c r="AJ99" s="21">
        <f aca="true" t="shared" si="84" ref="AJ99:AJ106">IF(AN99=0,K99,0)</f>
        <v>0</v>
      </c>
      <c r="AK99" s="21">
        <f aca="true" t="shared" si="85" ref="AK99:AK106">IF(AN99=15,K99,0)</f>
        <v>0</v>
      </c>
      <c r="AL99" s="21">
        <f aca="true" t="shared" si="86" ref="AL99:AL106">IF(AN99=21,K99,0)</f>
        <v>0</v>
      </c>
      <c r="AN99" s="41">
        <v>15</v>
      </c>
      <c r="AO99" s="41">
        <f aca="true" t="shared" si="87" ref="AO99:AO106">H99*0</f>
        <v>0</v>
      </c>
      <c r="AP99" s="41">
        <f aca="true" t="shared" si="88" ref="AP99:AP106">H99*(1-0)</f>
        <v>0</v>
      </c>
      <c r="AQ99" s="42" t="s">
        <v>10</v>
      </c>
      <c r="AV99" s="41">
        <f aca="true" t="shared" si="89" ref="AV99:AV106">AW99+AX99</f>
        <v>0</v>
      </c>
      <c r="AW99" s="41">
        <f aca="true" t="shared" si="90" ref="AW99:AW106">G99*AO99</f>
        <v>0</v>
      </c>
      <c r="AX99" s="41">
        <f aca="true" t="shared" si="91" ref="AX99:AX106">G99*AP99</f>
        <v>0</v>
      </c>
      <c r="AY99" s="44" t="s">
        <v>405</v>
      </c>
      <c r="AZ99" s="44" t="s">
        <v>414</v>
      </c>
      <c r="BA99" s="31" t="s">
        <v>416</v>
      </c>
      <c r="BC99" s="41">
        <f aca="true" t="shared" si="92" ref="BC99:BC106">AW99+AX99</f>
        <v>0</v>
      </c>
      <c r="BD99" s="41">
        <f aca="true" t="shared" si="93" ref="BD99:BD106">H99/(100-BE99)*100</f>
        <v>0</v>
      </c>
      <c r="BE99" s="41">
        <v>0</v>
      </c>
      <c r="BF99" s="41">
        <f aca="true" t="shared" si="94" ref="BF99:BF106">M99</f>
        <v>0</v>
      </c>
      <c r="BH99" s="21">
        <f aca="true" t="shared" si="95" ref="BH99:BH106">G99*AO99</f>
        <v>0</v>
      </c>
      <c r="BI99" s="21">
        <f aca="true" t="shared" si="96" ref="BI99:BI106">G99*AP99</f>
        <v>0</v>
      </c>
      <c r="BJ99" s="21">
        <f aca="true" t="shared" si="97" ref="BJ99:BJ106">G99*H99</f>
        <v>0</v>
      </c>
      <c r="BK99" s="21" t="s">
        <v>421</v>
      </c>
      <c r="BL99" s="41" t="s">
        <v>184</v>
      </c>
    </row>
    <row r="100" spans="1:64" ht="12.75">
      <c r="A100" s="4" t="s">
        <v>72</v>
      </c>
      <c r="B100" s="13"/>
      <c r="C100" s="13" t="s">
        <v>186</v>
      </c>
      <c r="D100" s="137" t="s">
        <v>308</v>
      </c>
      <c r="E100" s="138"/>
      <c r="F100" s="13" t="s">
        <v>348</v>
      </c>
      <c r="G100" s="21">
        <v>3.87</v>
      </c>
      <c r="H100" s="21">
        <v>0</v>
      </c>
      <c r="I100" s="21">
        <f t="shared" si="72"/>
        <v>0</v>
      </c>
      <c r="J100" s="21">
        <f t="shared" si="73"/>
        <v>0</v>
      </c>
      <c r="K100" s="21">
        <f t="shared" si="74"/>
        <v>0</v>
      </c>
      <c r="L100" s="21">
        <v>0</v>
      </c>
      <c r="M100" s="21">
        <f t="shared" si="75"/>
        <v>0</v>
      </c>
      <c r="N100" s="35" t="s">
        <v>372</v>
      </c>
      <c r="O100" s="39"/>
      <c r="Z100" s="41">
        <f t="shared" si="76"/>
        <v>0</v>
      </c>
      <c r="AB100" s="41">
        <f t="shared" si="77"/>
        <v>0</v>
      </c>
      <c r="AC100" s="41">
        <f t="shared" si="78"/>
        <v>0</v>
      </c>
      <c r="AD100" s="41">
        <f t="shared" si="79"/>
        <v>0</v>
      </c>
      <c r="AE100" s="41">
        <f t="shared" si="80"/>
        <v>0</v>
      </c>
      <c r="AF100" s="41">
        <f t="shared" si="81"/>
        <v>0</v>
      </c>
      <c r="AG100" s="41">
        <f t="shared" si="82"/>
        <v>0</v>
      </c>
      <c r="AH100" s="41">
        <f t="shared" si="83"/>
        <v>0</v>
      </c>
      <c r="AI100" s="31"/>
      <c r="AJ100" s="21">
        <f t="shared" si="84"/>
        <v>0</v>
      </c>
      <c r="AK100" s="21">
        <f t="shared" si="85"/>
        <v>0</v>
      </c>
      <c r="AL100" s="21">
        <f t="shared" si="86"/>
        <v>0</v>
      </c>
      <c r="AN100" s="41">
        <v>15</v>
      </c>
      <c r="AO100" s="41">
        <f t="shared" si="87"/>
        <v>0</v>
      </c>
      <c r="AP100" s="41">
        <f t="shared" si="88"/>
        <v>0</v>
      </c>
      <c r="AQ100" s="42" t="s">
        <v>10</v>
      </c>
      <c r="AV100" s="41">
        <f t="shared" si="89"/>
        <v>0</v>
      </c>
      <c r="AW100" s="41">
        <f t="shared" si="90"/>
        <v>0</v>
      </c>
      <c r="AX100" s="41">
        <f t="shared" si="91"/>
        <v>0</v>
      </c>
      <c r="AY100" s="44" t="s">
        <v>405</v>
      </c>
      <c r="AZ100" s="44" t="s">
        <v>414</v>
      </c>
      <c r="BA100" s="31" t="s">
        <v>416</v>
      </c>
      <c r="BC100" s="41">
        <f t="shared" si="92"/>
        <v>0</v>
      </c>
      <c r="BD100" s="41">
        <f t="shared" si="93"/>
        <v>0</v>
      </c>
      <c r="BE100" s="41">
        <v>0</v>
      </c>
      <c r="BF100" s="41">
        <f t="shared" si="94"/>
        <v>0</v>
      </c>
      <c r="BH100" s="21">
        <f t="shared" si="95"/>
        <v>0</v>
      </c>
      <c r="BI100" s="21">
        <f t="shared" si="96"/>
        <v>0</v>
      </c>
      <c r="BJ100" s="21">
        <f t="shared" si="97"/>
        <v>0</v>
      </c>
      <c r="BK100" s="21" t="s">
        <v>421</v>
      </c>
      <c r="BL100" s="41" t="s">
        <v>184</v>
      </c>
    </row>
    <row r="101" spans="1:64" ht="12.75">
      <c r="A101" s="4" t="s">
        <v>73</v>
      </c>
      <c r="B101" s="13"/>
      <c r="C101" s="13" t="s">
        <v>187</v>
      </c>
      <c r="D101" s="137" t="s">
        <v>309</v>
      </c>
      <c r="E101" s="138"/>
      <c r="F101" s="13" t="s">
        <v>348</v>
      </c>
      <c r="G101" s="21">
        <v>3.87</v>
      </c>
      <c r="H101" s="21">
        <v>0</v>
      </c>
      <c r="I101" s="21">
        <f t="shared" si="72"/>
        <v>0</v>
      </c>
      <c r="J101" s="21">
        <f t="shared" si="73"/>
        <v>0</v>
      </c>
      <c r="K101" s="21">
        <f t="shared" si="74"/>
        <v>0</v>
      </c>
      <c r="L101" s="21">
        <v>0</v>
      </c>
      <c r="M101" s="21">
        <f t="shared" si="75"/>
        <v>0</v>
      </c>
      <c r="N101" s="35" t="s">
        <v>372</v>
      </c>
      <c r="O101" s="39"/>
      <c r="Z101" s="41">
        <f t="shared" si="76"/>
        <v>0</v>
      </c>
      <c r="AB101" s="41">
        <f t="shared" si="77"/>
        <v>0</v>
      </c>
      <c r="AC101" s="41">
        <f t="shared" si="78"/>
        <v>0</v>
      </c>
      <c r="AD101" s="41">
        <f t="shared" si="79"/>
        <v>0</v>
      </c>
      <c r="AE101" s="41">
        <f t="shared" si="80"/>
        <v>0</v>
      </c>
      <c r="AF101" s="41">
        <f t="shared" si="81"/>
        <v>0</v>
      </c>
      <c r="AG101" s="41">
        <f t="shared" si="82"/>
        <v>0</v>
      </c>
      <c r="AH101" s="41">
        <f t="shared" si="83"/>
        <v>0</v>
      </c>
      <c r="AI101" s="31"/>
      <c r="AJ101" s="21">
        <f t="shared" si="84"/>
        <v>0</v>
      </c>
      <c r="AK101" s="21">
        <f t="shared" si="85"/>
        <v>0</v>
      </c>
      <c r="AL101" s="21">
        <f t="shared" si="86"/>
        <v>0</v>
      </c>
      <c r="AN101" s="41">
        <v>15</v>
      </c>
      <c r="AO101" s="41">
        <f t="shared" si="87"/>
        <v>0</v>
      </c>
      <c r="AP101" s="41">
        <f t="shared" si="88"/>
        <v>0</v>
      </c>
      <c r="AQ101" s="42" t="s">
        <v>10</v>
      </c>
      <c r="AV101" s="41">
        <f t="shared" si="89"/>
        <v>0</v>
      </c>
      <c r="AW101" s="41">
        <f t="shared" si="90"/>
        <v>0</v>
      </c>
      <c r="AX101" s="41">
        <f t="shared" si="91"/>
        <v>0</v>
      </c>
      <c r="AY101" s="44" t="s">
        <v>405</v>
      </c>
      <c r="AZ101" s="44" t="s">
        <v>414</v>
      </c>
      <c r="BA101" s="31" t="s">
        <v>416</v>
      </c>
      <c r="BC101" s="41">
        <f t="shared" si="92"/>
        <v>0</v>
      </c>
      <c r="BD101" s="41">
        <f t="shared" si="93"/>
        <v>0</v>
      </c>
      <c r="BE101" s="41">
        <v>0</v>
      </c>
      <c r="BF101" s="41">
        <f t="shared" si="94"/>
        <v>0</v>
      </c>
      <c r="BH101" s="21">
        <f t="shared" si="95"/>
        <v>0</v>
      </c>
      <c r="BI101" s="21">
        <f t="shared" si="96"/>
        <v>0</v>
      </c>
      <c r="BJ101" s="21">
        <f t="shared" si="97"/>
        <v>0</v>
      </c>
      <c r="BK101" s="21" t="s">
        <v>421</v>
      </c>
      <c r="BL101" s="41" t="s">
        <v>184</v>
      </c>
    </row>
    <row r="102" spans="1:64" ht="12.75">
      <c r="A102" s="4" t="s">
        <v>74</v>
      </c>
      <c r="B102" s="13"/>
      <c r="C102" s="13" t="s">
        <v>188</v>
      </c>
      <c r="D102" s="137" t="s">
        <v>310</v>
      </c>
      <c r="E102" s="138"/>
      <c r="F102" s="13" t="s">
        <v>348</v>
      </c>
      <c r="G102" s="21">
        <v>38.7</v>
      </c>
      <c r="H102" s="21">
        <v>0</v>
      </c>
      <c r="I102" s="21">
        <f t="shared" si="72"/>
        <v>0</v>
      </c>
      <c r="J102" s="21">
        <f t="shared" si="73"/>
        <v>0</v>
      </c>
      <c r="K102" s="21">
        <f t="shared" si="74"/>
        <v>0</v>
      </c>
      <c r="L102" s="21">
        <v>0</v>
      </c>
      <c r="M102" s="21">
        <f t="shared" si="75"/>
        <v>0</v>
      </c>
      <c r="N102" s="35" t="s">
        <v>372</v>
      </c>
      <c r="O102" s="39"/>
      <c r="Z102" s="41">
        <f t="shared" si="76"/>
        <v>0</v>
      </c>
      <c r="AB102" s="41">
        <f t="shared" si="77"/>
        <v>0</v>
      </c>
      <c r="AC102" s="41">
        <f t="shared" si="78"/>
        <v>0</v>
      </c>
      <c r="AD102" s="41">
        <f t="shared" si="79"/>
        <v>0</v>
      </c>
      <c r="AE102" s="41">
        <f t="shared" si="80"/>
        <v>0</v>
      </c>
      <c r="AF102" s="41">
        <f t="shared" si="81"/>
        <v>0</v>
      </c>
      <c r="AG102" s="41">
        <f t="shared" si="82"/>
        <v>0</v>
      </c>
      <c r="AH102" s="41">
        <f t="shared" si="83"/>
        <v>0</v>
      </c>
      <c r="AI102" s="31"/>
      <c r="AJ102" s="21">
        <f t="shared" si="84"/>
        <v>0</v>
      </c>
      <c r="AK102" s="21">
        <f t="shared" si="85"/>
        <v>0</v>
      </c>
      <c r="AL102" s="21">
        <f t="shared" si="86"/>
        <v>0</v>
      </c>
      <c r="AN102" s="41">
        <v>15</v>
      </c>
      <c r="AO102" s="41">
        <f t="shared" si="87"/>
        <v>0</v>
      </c>
      <c r="AP102" s="41">
        <f t="shared" si="88"/>
        <v>0</v>
      </c>
      <c r="AQ102" s="42" t="s">
        <v>10</v>
      </c>
      <c r="AV102" s="41">
        <f t="shared" si="89"/>
        <v>0</v>
      </c>
      <c r="AW102" s="41">
        <f t="shared" si="90"/>
        <v>0</v>
      </c>
      <c r="AX102" s="41">
        <f t="shared" si="91"/>
        <v>0</v>
      </c>
      <c r="AY102" s="44" t="s">
        <v>405</v>
      </c>
      <c r="AZ102" s="44" t="s">
        <v>414</v>
      </c>
      <c r="BA102" s="31" t="s">
        <v>416</v>
      </c>
      <c r="BC102" s="41">
        <f t="shared" si="92"/>
        <v>0</v>
      </c>
      <c r="BD102" s="41">
        <f t="shared" si="93"/>
        <v>0</v>
      </c>
      <c r="BE102" s="41">
        <v>0</v>
      </c>
      <c r="BF102" s="41">
        <f t="shared" si="94"/>
        <v>0</v>
      </c>
      <c r="BH102" s="21">
        <f t="shared" si="95"/>
        <v>0</v>
      </c>
      <c r="BI102" s="21">
        <f t="shared" si="96"/>
        <v>0</v>
      </c>
      <c r="BJ102" s="21">
        <f t="shared" si="97"/>
        <v>0</v>
      </c>
      <c r="BK102" s="21" t="s">
        <v>421</v>
      </c>
      <c r="BL102" s="41" t="s">
        <v>184</v>
      </c>
    </row>
    <row r="103" spans="1:64" ht="12.75">
      <c r="A103" s="4" t="s">
        <v>75</v>
      </c>
      <c r="B103" s="13"/>
      <c r="C103" s="13" t="s">
        <v>189</v>
      </c>
      <c r="D103" s="137" t="s">
        <v>311</v>
      </c>
      <c r="E103" s="138"/>
      <c r="F103" s="13" t="s">
        <v>348</v>
      </c>
      <c r="G103" s="21">
        <v>3.87</v>
      </c>
      <c r="H103" s="21">
        <v>0</v>
      </c>
      <c r="I103" s="21">
        <f t="shared" si="72"/>
        <v>0</v>
      </c>
      <c r="J103" s="21">
        <f t="shared" si="73"/>
        <v>0</v>
      </c>
      <c r="K103" s="21">
        <f t="shared" si="74"/>
        <v>0</v>
      </c>
      <c r="L103" s="21">
        <v>0</v>
      </c>
      <c r="M103" s="21">
        <f t="shared" si="75"/>
        <v>0</v>
      </c>
      <c r="N103" s="35" t="s">
        <v>372</v>
      </c>
      <c r="O103" s="39"/>
      <c r="Z103" s="41">
        <f t="shared" si="76"/>
        <v>0</v>
      </c>
      <c r="AB103" s="41">
        <f t="shared" si="77"/>
        <v>0</v>
      </c>
      <c r="AC103" s="41">
        <f t="shared" si="78"/>
        <v>0</v>
      </c>
      <c r="AD103" s="41">
        <f t="shared" si="79"/>
        <v>0</v>
      </c>
      <c r="AE103" s="41">
        <f t="shared" si="80"/>
        <v>0</v>
      </c>
      <c r="AF103" s="41">
        <f t="shared" si="81"/>
        <v>0</v>
      </c>
      <c r="AG103" s="41">
        <f t="shared" si="82"/>
        <v>0</v>
      </c>
      <c r="AH103" s="41">
        <f t="shared" si="83"/>
        <v>0</v>
      </c>
      <c r="AI103" s="31"/>
      <c r="AJ103" s="21">
        <f t="shared" si="84"/>
        <v>0</v>
      </c>
      <c r="AK103" s="21">
        <f t="shared" si="85"/>
        <v>0</v>
      </c>
      <c r="AL103" s="21">
        <f t="shared" si="86"/>
        <v>0</v>
      </c>
      <c r="AN103" s="41">
        <v>15</v>
      </c>
      <c r="AO103" s="41">
        <f t="shared" si="87"/>
        <v>0</v>
      </c>
      <c r="AP103" s="41">
        <f t="shared" si="88"/>
        <v>0</v>
      </c>
      <c r="AQ103" s="42" t="s">
        <v>10</v>
      </c>
      <c r="AV103" s="41">
        <f t="shared" si="89"/>
        <v>0</v>
      </c>
      <c r="AW103" s="41">
        <f t="shared" si="90"/>
        <v>0</v>
      </c>
      <c r="AX103" s="41">
        <f t="shared" si="91"/>
        <v>0</v>
      </c>
      <c r="AY103" s="44" t="s">
        <v>405</v>
      </c>
      <c r="AZ103" s="44" t="s">
        <v>414</v>
      </c>
      <c r="BA103" s="31" t="s">
        <v>416</v>
      </c>
      <c r="BC103" s="41">
        <f t="shared" si="92"/>
        <v>0</v>
      </c>
      <c r="BD103" s="41">
        <f t="shared" si="93"/>
        <v>0</v>
      </c>
      <c r="BE103" s="41">
        <v>0</v>
      </c>
      <c r="BF103" s="41">
        <f t="shared" si="94"/>
        <v>0</v>
      </c>
      <c r="BH103" s="21">
        <f t="shared" si="95"/>
        <v>0</v>
      </c>
      <c r="BI103" s="21">
        <f t="shared" si="96"/>
        <v>0</v>
      </c>
      <c r="BJ103" s="21">
        <f t="shared" si="97"/>
        <v>0</v>
      </c>
      <c r="BK103" s="21" t="s">
        <v>421</v>
      </c>
      <c r="BL103" s="41" t="s">
        <v>184</v>
      </c>
    </row>
    <row r="104" spans="1:64" ht="12.75">
      <c r="A104" s="4" t="s">
        <v>76</v>
      </c>
      <c r="B104" s="13"/>
      <c r="C104" s="13" t="s">
        <v>190</v>
      </c>
      <c r="D104" s="137" t="s">
        <v>312</v>
      </c>
      <c r="E104" s="138"/>
      <c r="F104" s="13" t="s">
        <v>348</v>
      </c>
      <c r="G104" s="21">
        <v>3.87</v>
      </c>
      <c r="H104" s="21">
        <v>0</v>
      </c>
      <c r="I104" s="21">
        <f t="shared" si="72"/>
        <v>0</v>
      </c>
      <c r="J104" s="21">
        <f t="shared" si="73"/>
        <v>0</v>
      </c>
      <c r="K104" s="21">
        <f t="shared" si="74"/>
        <v>0</v>
      </c>
      <c r="L104" s="21">
        <v>0</v>
      </c>
      <c r="M104" s="21">
        <f t="shared" si="75"/>
        <v>0</v>
      </c>
      <c r="N104" s="35" t="s">
        <v>372</v>
      </c>
      <c r="O104" s="39"/>
      <c r="Z104" s="41">
        <f t="shared" si="76"/>
        <v>0</v>
      </c>
      <c r="AB104" s="41">
        <f t="shared" si="77"/>
        <v>0</v>
      </c>
      <c r="AC104" s="41">
        <f t="shared" si="78"/>
        <v>0</v>
      </c>
      <c r="AD104" s="41">
        <f t="shared" si="79"/>
        <v>0</v>
      </c>
      <c r="AE104" s="41">
        <f t="shared" si="80"/>
        <v>0</v>
      </c>
      <c r="AF104" s="41">
        <f t="shared" si="81"/>
        <v>0</v>
      </c>
      <c r="AG104" s="41">
        <f t="shared" si="82"/>
        <v>0</v>
      </c>
      <c r="AH104" s="41">
        <f t="shared" si="83"/>
        <v>0</v>
      </c>
      <c r="AI104" s="31"/>
      <c r="AJ104" s="21">
        <f t="shared" si="84"/>
        <v>0</v>
      </c>
      <c r="AK104" s="21">
        <f t="shared" si="85"/>
        <v>0</v>
      </c>
      <c r="AL104" s="21">
        <f t="shared" si="86"/>
        <v>0</v>
      </c>
      <c r="AN104" s="41">
        <v>15</v>
      </c>
      <c r="AO104" s="41">
        <f t="shared" si="87"/>
        <v>0</v>
      </c>
      <c r="AP104" s="41">
        <f t="shared" si="88"/>
        <v>0</v>
      </c>
      <c r="AQ104" s="42" t="s">
        <v>10</v>
      </c>
      <c r="AV104" s="41">
        <f t="shared" si="89"/>
        <v>0</v>
      </c>
      <c r="AW104" s="41">
        <f t="shared" si="90"/>
        <v>0</v>
      </c>
      <c r="AX104" s="41">
        <f t="shared" si="91"/>
        <v>0</v>
      </c>
      <c r="AY104" s="44" t="s">
        <v>405</v>
      </c>
      <c r="AZ104" s="44" t="s">
        <v>414</v>
      </c>
      <c r="BA104" s="31" t="s">
        <v>416</v>
      </c>
      <c r="BC104" s="41">
        <f t="shared" si="92"/>
        <v>0</v>
      </c>
      <c r="BD104" s="41">
        <f t="shared" si="93"/>
        <v>0</v>
      </c>
      <c r="BE104" s="41">
        <v>0</v>
      </c>
      <c r="BF104" s="41">
        <f t="shared" si="94"/>
        <v>0</v>
      </c>
      <c r="BH104" s="21">
        <f t="shared" si="95"/>
        <v>0</v>
      </c>
      <c r="BI104" s="21">
        <f t="shared" si="96"/>
        <v>0</v>
      </c>
      <c r="BJ104" s="21">
        <f t="shared" si="97"/>
        <v>0</v>
      </c>
      <c r="BK104" s="21" t="s">
        <v>421</v>
      </c>
      <c r="BL104" s="41" t="s">
        <v>184</v>
      </c>
    </row>
    <row r="105" spans="1:64" ht="12.75">
      <c r="A105" s="4" t="s">
        <v>77</v>
      </c>
      <c r="B105" s="13"/>
      <c r="C105" s="13" t="s">
        <v>191</v>
      </c>
      <c r="D105" s="137" t="s">
        <v>313</v>
      </c>
      <c r="E105" s="138"/>
      <c r="F105" s="13" t="s">
        <v>348</v>
      </c>
      <c r="G105" s="21">
        <v>3.87</v>
      </c>
      <c r="H105" s="21">
        <v>0</v>
      </c>
      <c r="I105" s="21">
        <f t="shared" si="72"/>
        <v>0</v>
      </c>
      <c r="J105" s="21">
        <f t="shared" si="73"/>
        <v>0</v>
      </c>
      <c r="K105" s="21">
        <f t="shared" si="74"/>
        <v>0</v>
      </c>
      <c r="L105" s="21">
        <v>0</v>
      </c>
      <c r="M105" s="21">
        <f t="shared" si="75"/>
        <v>0</v>
      </c>
      <c r="N105" s="35" t="s">
        <v>372</v>
      </c>
      <c r="O105" s="39"/>
      <c r="Z105" s="41">
        <f t="shared" si="76"/>
        <v>0</v>
      </c>
      <c r="AB105" s="41">
        <f t="shared" si="77"/>
        <v>0</v>
      </c>
      <c r="AC105" s="41">
        <f t="shared" si="78"/>
        <v>0</v>
      </c>
      <c r="AD105" s="41">
        <f t="shared" si="79"/>
        <v>0</v>
      </c>
      <c r="AE105" s="41">
        <f t="shared" si="80"/>
        <v>0</v>
      </c>
      <c r="AF105" s="41">
        <f t="shared" si="81"/>
        <v>0</v>
      </c>
      <c r="AG105" s="41">
        <f t="shared" si="82"/>
        <v>0</v>
      </c>
      <c r="AH105" s="41">
        <f t="shared" si="83"/>
        <v>0</v>
      </c>
      <c r="AI105" s="31"/>
      <c r="AJ105" s="21">
        <f t="shared" si="84"/>
        <v>0</v>
      </c>
      <c r="AK105" s="21">
        <f t="shared" si="85"/>
        <v>0</v>
      </c>
      <c r="AL105" s="21">
        <f t="shared" si="86"/>
        <v>0</v>
      </c>
      <c r="AN105" s="41">
        <v>15</v>
      </c>
      <c r="AO105" s="41">
        <f t="shared" si="87"/>
        <v>0</v>
      </c>
      <c r="AP105" s="41">
        <f t="shared" si="88"/>
        <v>0</v>
      </c>
      <c r="AQ105" s="42" t="s">
        <v>10</v>
      </c>
      <c r="AV105" s="41">
        <f t="shared" si="89"/>
        <v>0</v>
      </c>
      <c r="AW105" s="41">
        <f t="shared" si="90"/>
        <v>0</v>
      </c>
      <c r="AX105" s="41">
        <f t="shared" si="91"/>
        <v>0</v>
      </c>
      <c r="AY105" s="44" t="s">
        <v>405</v>
      </c>
      <c r="AZ105" s="44" t="s">
        <v>414</v>
      </c>
      <c r="BA105" s="31" t="s">
        <v>416</v>
      </c>
      <c r="BC105" s="41">
        <f t="shared" si="92"/>
        <v>0</v>
      </c>
      <c r="BD105" s="41">
        <f t="shared" si="93"/>
        <v>0</v>
      </c>
      <c r="BE105" s="41">
        <v>0</v>
      </c>
      <c r="BF105" s="41">
        <f t="shared" si="94"/>
        <v>0</v>
      </c>
      <c r="BH105" s="21">
        <f t="shared" si="95"/>
        <v>0</v>
      </c>
      <c r="BI105" s="21">
        <f t="shared" si="96"/>
        <v>0</v>
      </c>
      <c r="BJ105" s="21">
        <f t="shared" si="97"/>
        <v>0</v>
      </c>
      <c r="BK105" s="21" t="s">
        <v>421</v>
      </c>
      <c r="BL105" s="41" t="s">
        <v>184</v>
      </c>
    </row>
    <row r="106" spans="1:64" ht="12.75">
      <c r="A106" s="4" t="s">
        <v>78</v>
      </c>
      <c r="B106" s="13"/>
      <c r="C106" s="13" t="s">
        <v>192</v>
      </c>
      <c r="D106" s="137" t="s">
        <v>314</v>
      </c>
      <c r="E106" s="138"/>
      <c r="F106" s="13" t="s">
        <v>348</v>
      </c>
      <c r="G106" s="21">
        <v>0.58</v>
      </c>
      <c r="H106" s="21">
        <v>0</v>
      </c>
      <c r="I106" s="21">
        <f t="shared" si="72"/>
        <v>0</v>
      </c>
      <c r="J106" s="21">
        <f t="shared" si="73"/>
        <v>0</v>
      </c>
      <c r="K106" s="21">
        <f t="shared" si="74"/>
        <v>0</v>
      </c>
      <c r="L106" s="21">
        <v>0</v>
      </c>
      <c r="M106" s="21">
        <f t="shared" si="75"/>
        <v>0</v>
      </c>
      <c r="N106" s="35" t="s">
        <v>372</v>
      </c>
      <c r="O106" s="39"/>
      <c r="Z106" s="41">
        <f t="shared" si="76"/>
        <v>0</v>
      </c>
      <c r="AB106" s="41">
        <f t="shared" si="77"/>
        <v>0</v>
      </c>
      <c r="AC106" s="41">
        <f t="shared" si="78"/>
        <v>0</v>
      </c>
      <c r="AD106" s="41">
        <f t="shared" si="79"/>
        <v>0</v>
      </c>
      <c r="AE106" s="41">
        <f t="shared" si="80"/>
        <v>0</v>
      </c>
      <c r="AF106" s="41">
        <f t="shared" si="81"/>
        <v>0</v>
      </c>
      <c r="AG106" s="41">
        <f t="shared" si="82"/>
        <v>0</v>
      </c>
      <c r="AH106" s="41">
        <f t="shared" si="83"/>
        <v>0</v>
      </c>
      <c r="AI106" s="31"/>
      <c r="AJ106" s="21">
        <f t="shared" si="84"/>
        <v>0</v>
      </c>
      <c r="AK106" s="21">
        <f t="shared" si="85"/>
        <v>0</v>
      </c>
      <c r="AL106" s="21">
        <f t="shared" si="86"/>
        <v>0</v>
      </c>
      <c r="AN106" s="41">
        <v>15</v>
      </c>
      <c r="AO106" s="41">
        <f t="shared" si="87"/>
        <v>0</v>
      </c>
      <c r="AP106" s="41">
        <f t="shared" si="88"/>
        <v>0</v>
      </c>
      <c r="AQ106" s="42" t="s">
        <v>10</v>
      </c>
      <c r="AV106" s="41">
        <f t="shared" si="89"/>
        <v>0</v>
      </c>
      <c r="AW106" s="41">
        <f t="shared" si="90"/>
        <v>0</v>
      </c>
      <c r="AX106" s="41">
        <f t="shared" si="91"/>
        <v>0</v>
      </c>
      <c r="AY106" s="44" t="s">
        <v>405</v>
      </c>
      <c r="AZ106" s="44" t="s">
        <v>414</v>
      </c>
      <c r="BA106" s="31" t="s">
        <v>416</v>
      </c>
      <c r="BC106" s="41">
        <f t="shared" si="92"/>
        <v>0</v>
      </c>
      <c r="BD106" s="41">
        <f t="shared" si="93"/>
        <v>0</v>
      </c>
      <c r="BE106" s="41">
        <v>0</v>
      </c>
      <c r="BF106" s="41">
        <f t="shared" si="94"/>
        <v>0</v>
      </c>
      <c r="BH106" s="21">
        <f t="shared" si="95"/>
        <v>0</v>
      </c>
      <c r="BI106" s="21">
        <f t="shared" si="96"/>
        <v>0</v>
      </c>
      <c r="BJ106" s="21">
        <f t="shared" si="97"/>
        <v>0</v>
      </c>
      <c r="BK106" s="21" t="s">
        <v>421</v>
      </c>
      <c r="BL106" s="41" t="s">
        <v>184</v>
      </c>
    </row>
    <row r="107" spans="1:47" ht="12.75">
      <c r="A107" s="5"/>
      <c r="B107" s="14"/>
      <c r="C107" s="14"/>
      <c r="D107" s="139" t="s">
        <v>315</v>
      </c>
      <c r="E107" s="140"/>
      <c r="F107" s="19" t="s">
        <v>5</v>
      </c>
      <c r="G107" s="19" t="s">
        <v>5</v>
      </c>
      <c r="H107" s="19" t="s">
        <v>5</v>
      </c>
      <c r="I107" s="47">
        <f>SUM(I108:I130)</f>
        <v>0</v>
      </c>
      <c r="J107" s="47">
        <f>SUM(J108:J130)</f>
        <v>0</v>
      </c>
      <c r="K107" s="47">
        <f>SUM(K108:K130)</f>
        <v>0</v>
      </c>
      <c r="L107" s="31"/>
      <c r="M107" s="47">
        <f>SUM(M108:M130)</f>
        <v>0.64851</v>
      </c>
      <c r="N107" s="36"/>
      <c r="O107" s="39"/>
      <c r="AI107" s="31"/>
      <c r="AS107" s="47">
        <f>SUM(AJ108:AJ130)</f>
        <v>0</v>
      </c>
      <c r="AT107" s="47">
        <f>SUM(AK108:AK130)</f>
        <v>0</v>
      </c>
      <c r="AU107" s="47">
        <f>SUM(AL108:AL130)</f>
        <v>0</v>
      </c>
    </row>
    <row r="108" spans="1:64" ht="12.75">
      <c r="A108" s="6" t="s">
        <v>79</v>
      </c>
      <c r="B108" s="15"/>
      <c r="C108" s="15" t="s">
        <v>193</v>
      </c>
      <c r="D108" s="141" t="s">
        <v>316</v>
      </c>
      <c r="E108" s="142"/>
      <c r="F108" s="15" t="s">
        <v>344</v>
      </c>
      <c r="G108" s="22">
        <v>1</v>
      </c>
      <c r="H108" s="22">
        <v>0</v>
      </c>
      <c r="I108" s="22">
        <f aca="true" t="shared" si="98" ref="I108:I130">G108*AO108</f>
        <v>0</v>
      </c>
      <c r="J108" s="22">
        <f aca="true" t="shared" si="99" ref="J108:J130">G108*AP108</f>
        <v>0</v>
      </c>
      <c r="K108" s="22">
        <f aca="true" t="shared" si="100" ref="K108:K130">G108*H108</f>
        <v>0</v>
      </c>
      <c r="L108" s="22">
        <v>0.027</v>
      </c>
      <c r="M108" s="22">
        <f aca="true" t="shared" si="101" ref="M108:M130">G108*L108</f>
        <v>0.027</v>
      </c>
      <c r="N108" s="37" t="s">
        <v>372</v>
      </c>
      <c r="O108" s="39"/>
      <c r="Z108" s="41">
        <f aca="true" t="shared" si="102" ref="Z108:Z130">IF(AQ108="5",BJ108,0)</f>
        <v>0</v>
      </c>
      <c r="AB108" s="41">
        <f aca="true" t="shared" si="103" ref="AB108:AB130">IF(AQ108="1",BH108,0)</f>
        <v>0</v>
      </c>
      <c r="AC108" s="41">
        <f aca="true" t="shared" si="104" ref="AC108:AC130">IF(AQ108="1",BI108,0)</f>
        <v>0</v>
      </c>
      <c r="AD108" s="41">
        <f aca="true" t="shared" si="105" ref="AD108:AD130">IF(AQ108="7",BH108,0)</f>
        <v>0</v>
      </c>
      <c r="AE108" s="41">
        <f aca="true" t="shared" si="106" ref="AE108:AE130">IF(AQ108="7",BI108,0)</f>
        <v>0</v>
      </c>
      <c r="AF108" s="41">
        <f aca="true" t="shared" si="107" ref="AF108:AF130">IF(AQ108="2",BH108,0)</f>
        <v>0</v>
      </c>
      <c r="AG108" s="41">
        <f aca="true" t="shared" si="108" ref="AG108:AG130">IF(AQ108="2",BI108,0)</f>
        <v>0</v>
      </c>
      <c r="AH108" s="41">
        <f aca="true" t="shared" si="109" ref="AH108:AH130">IF(AQ108="0",BJ108,0)</f>
        <v>0</v>
      </c>
      <c r="AI108" s="31"/>
      <c r="AJ108" s="22">
        <f aca="true" t="shared" si="110" ref="AJ108:AJ130">IF(AN108=0,K108,0)</f>
        <v>0</v>
      </c>
      <c r="AK108" s="22">
        <f aca="true" t="shared" si="111" ref="AK108:AK130">IF(AN108=15,K108,0)</f>
        <v>0</v>
      </c>
      <c r="AL108" s="22">
        <f aca="true" t="shared" si="112" ref="AL108:AL130">IF(AN108=21,K108,0)</f>
        <v>0</v>
      </c>
      <c r="AN108" s="41">
        <v>15</v>
      </c>
      <c r="AO108" s="41">
        <f aca="true" t="shared" si="113" ref="AO108:AO130">H108*1</f>
        <v>0</v>
      </c>
      <c r="AP108" s="41">
        <f aca="true" t="shared" si="114" ref="AP108:AP130">H108*(1-1)</f>
        <v>0</v>
      </c>
      <c r="AQ108" s="43" t="s">
        <v>383</v>
      </c>
      <c r="AV108" s="41">
        <f aca="true" t="shared" si="115" ref="AV108:AV130">AW108+AX108</f>
        <v>0</v>
      </c>
      <c r="AW108" s="41">
        <f aca="true" t="shared" si="116" ref="AW108:AW130">G108*AO108</f>
        <v>0</v>
      </c>
      <c r="AX108" s="41">
        <f aca="true" t="shared" si="117" ref="AX108:AX130">G108*AP108</f>
        <v>0</v>
      </c>
      <c r="AY108" s="44" t="s">
        <v>406</v>
      </c>
      <c r="AZ108" s="44" t="s">
        <v>415</v>
      </c>
      <c r="BA108" s="31" t="s">
        <v>416</v>
      </c>
      <c r="BC108" s="41">
        <f aca="true" t="shared" si="118" ref="BC108:BC130">AW108+AX108</f>
        <v>0</v>
      </c>
      <c r="BD108" s="41">
        <f aca="true" t="shared" si="119" ref="BD108:BD130">H108/(100-BE108)*100</f>
        <v>0</v>
      </c>
      <c r="BE108" s="41">
        <v>0</v>
      </c>
      <c r="BF108" s="41">
        <f aca="true" t="shared" si="120" ref="BF108:BF130">M108</f>
        <v>0.027</v>
      </c>
      <c r="BH108" s="22">
        <f aca="true" t="shared" si="121" ref="BH108:BH130">G108*AO108</f>
        <v>0</v>
      </c>
      <c r="BI108" s="22">
        <f aca="true" t="shared" si="122" ref="BI108:BI130">G108*AP108</f>
        <v>0</v>
      </c>
      <c r="BJ108" s="22">
        <f aca="true" t="shared" si="123" ref="BJ108:BJ130">G108*H108</f>
        <v>0</v>
      </c>
      <c r="BK108" s="22" t="s">
        <v>422</v>
      </c>
      <c r="BL108" s="41"/>
    </row>
    <row r="109" spans="1:64" ht="12.75">
      <c r="A109" s="6" t="s">
        <v>80</v>
      </c>
      <c r="B109" s="15"/>
      <c r="C109" s="15" t="s">
        <v>194</v>
      </c>
      <c r="D109" s="141" t="s">
        <v>317</v>
      </c>
      <c r="E109" s="142"/>
      <c r="F109" s="15" t="s">
        <v>344</v>
      </c>
      <c r="G109" s="22">
        <v>1</v>
      </c>
      <c r="H109" s="22">
        <v>0</v>
      </c>
      <c r="I109" s="22">
        <f t="shared" si="98"/>
        <v>0</v>
      </c>
      <c r="J109" s="22">
        <f t="shared" si="99"/>
        <v>0</v>
      </c>
      <c r="K109" s="22">
        <f t="shared" si="100"/>
        <v>0</v>
      </c>
      <c r="L109" s="22">
        <v>0.098</v>
      </c>
      <c r="M109" s="22">
        <f t="shared" si="101"/>
        <v>0.098</v>
      </c>
      <c r="N109" s="37" t="s">
        <v>372</v>
      </c>
      <c r="O109" s="39"/>
      <c r="Z109" s="41">
        <f t="shared" si="102"/>
        <v>0</v>
      </c>
      <c r="AB109" s="41">
        <f t="shared" si="103"/>
        <v>0</v>
      </c>
      <c r="AC109" s="41">
        <f t="shared" si="104"/>
        <v>0</v>
      </c>
      <c r="AD109" s="41">
        <f t="shared" si="105"/>
        <v>0</v>
      </c>
      <c r="AE109" s="41">
        <f t="shared" si="106"/>
        <v>0</v>
      </c>
      <c r="AF109" s="41">
        <f t="shared" si="107"/>
        <v>0</v>
      </c>
      <c r="AG109" s="41">
        <f t="shared" si="108"/>
        <v>0</v>
      </c>
      <c r="AH109" s="41">
        <f t="shared" si="109"/>
        <v>0</v>
      </c>
      <c r="AI109" s="31"/>
      <c r="AJ109" s="22">
        <f t="shared" si="110"/>
        <v>0</v>
      </c>
      <c r="AK109" s="22">
        <f t="shared" si="111"/>
        <v>0</v>
      </c>
      <c r="AL109" s="22">
        <f t="shared" si="112"/>
        <v>0</v>
      </c>
      <c r="AN109" s="41">
        <v>15</v>
      </c>
      <c r="AO109" s="41">
        <f t="shared" si="113"/>
        <v>0</v>
      </c>
      <c r="AP109" s="41">
        <f t="shared" si="114"/>
        <v>0</v>
      </c>
      <c r="AQ109" s="43" t="s">
        <v>383</v>
      </c>
      <c r="AV109" s="41">
        <f t="shared" si="115"/>
        <v>0</v>
      </c>
      <c r="AW109" s="41">
        <f t="shared" si="116"/>
        <v>0</v>
      </c>
      <c r="AX109" s="41">
        <f t="shared" si="117"/>
        <v>0</v>
      </c>
      <c r="AY109" s="44" t="s">
        <v>406</v>
      </c>
      <c r="AZ109" s="44" t="s">
        <v>415</v>
      </c>
      <c r="BA109" s="31" t="s">
        <v>416</v>
      </c>
      <c r="BC109" s="41">
        <f t="shared" si="118"/>
        <v>0</v>
      </c>
      <c r="BD109" s="41">
        <f t="shared" si="119"/>
        <v>0</v>
      </c>
      <c r="BE109" s="41">
        <v>0</v>
      </c>
      <c r="BF109" s="41">
        <f t="shared" si="120"/>
        <v>0.098</v>
      </c>
      <c r="BH109" s="22">
        <f t="shared" si="121"/>
        <v>0</v>
      </c>
      <c r="BI109" s="22">
        <f t="shared" si="122"/>
        <v>0</v>
      </c>
      <c r="BJ109" s="22">
        <f t="shared" si="123"/>
        <v>0</v>
      </c>
      <c r="BK109" s="22" t="s">
        <v>422</v>
      </c>
      <c r="BL109" s="41"/>
    </row>
    <row r="110" spans="1:64" ht="12.75">
      <c r="A110" s="6" t="s">
        <v>81</v>
      </c>
      <c r="B110" s="15"/>
      <c r="C110" s="15" t="s">
        <v>195</v>
      </c>
      <c r="D110" s="141" t="s">
        <v>318</v>
      </c>
      <c r="E110" s="142"/>
      <c r="F110" s="15" t="s">
        <v>349</v>
      </c>
      <c r="G110" s="22">
        <v>5</v>
      </c>
      <c r="H110" s="22">
        <v>0</v>
      </c>
      <c r="I110" s="22">
        <f t="shared" si="98"/>
        <v>0</v>
      </c>
      <c r="J110" s="22">
        <f t="shared" si="99"/>
        <v>0</v>
      </c>
      <c r="K110" s="22">
        <f t="shared" si="100"/>
        <v>0</v>
      </c>
      <c r="L110" s="22">
        <v>0.001</v>
      </c>
      <c r="M110" s="22">
        <f t="shared" si="101"/>
        <v>0.005</v>
      </c>
      <c r="N110" s="37" t="s">
        <v>373</v>
      </c>
      <c r="O110" s="39"/>
      <c r="Z110" s="41">
        <f t="shared" si="102"/>
        <v>0</v>
      </c>
      <c r="AB110" s="41">
        <f t="shared" si="103"/>
        <v>0</v>
      </c>
      <c r="AC110" s="41">
        <f t="shared" si="104"/>
        <v>0</v>
      </c>
      <c r="AD110" s="41">
        <f t="shared" si="105"/>
        <v>0</v>
      </c>
      <c r="AE110" s="41">
        <f t="shared" si="106"/>
        <v>0</v>
      </c>
      <c r="AF110" s="41">
        <f t="shared" si="107"/>
        <v>0</v>
      </c>
      <c r="AG110" s="41">
        <f t="shared" si="108"/>
        <v>0</v>
      </c>
      <c r="AH110" s="41">
        <f t="shared" si="109"/>
        <v>0</v>
      </c>
      <c r="AI110" s="31"/>
      <c r="AJ110" s="22">
        <f t="shared" si="110"/>
        <v>0</v>
      </c>
      <c r="AK110" s="22">
        <f t="shared" si="111"/>
        <v>0</v>
      </c>
      <c r="AL110" s="22">
        <f t="shared" si="112"/>
        <v>0</v>
      </c>
      <c r="AN110" s="41">
        <v>15</v>
      </c>
      <c r="AO110" s="41">
        <f t="shared" si="113"/>
        <v>0</v>
      </c>
      <c r="AP110" s="41">
        <f t="shared" si="114"/>
        <v>0</v>
      </c>
      <c r="AQ110" s="43" t="s">
        <v>383</v>
      </c>
      <c r="AV110" s="41">
        <f t="shared" si="115"/>
        <v>0</v>
      </c>
      <c r="AW110" s="41">
        <f t="shared" si="116"/>
        <v>0</v>
      </c>
      <c r="AX110" s="41">
        <f t="shared" si="117"/>
        <v>0</v>
      </c>
      <c r="AY110" s="44" t="s">
        <v>406</v>
      </c>
      <c r="AZ110" s="44" t="s">
        <v>415</v>
      </c>
      <c r="BA110" s="31" t="s">
        <v>416</v>
      </c>
      <c r="BC110" s="41">
        <f t="shared" si="118"/>
        <v>0</v>
      </c>
      <c r="BD110" s="41">
        <f t="shared" si="119"/>
        <v>0</v>
      </c>
      <c r="BE110" s="41">
        <v>0</v>
      </c>
      <c r="BF110" s="41">
        <f t="shared" si="120"/>
        <v>0.005</v>
      </c>
      <c r="BH110" s="22">
        <f t="shared" si="121"/>
        <v>0</v>
      </c>
      <c r="BI110" s="22">
        <f t="shared" si="122"/>
        <v>0</v>
      </c>
      <c r="BJ110" s="22">
        <f t="shared" si="123"/>
        <v>0</v>
      </c>
      <c r="BK110" s="22" t="s">
        <v>422</v>
      </c>
      <c r="BL110" s="41"/>
    </row>
    <row r="111" spans="1:64" ht="12.75">
      <c r="A111" s="6" t="s">
        <v>82</v>
      </c>
      <c r="B111" s="15"/>
      <c r="C111" s="15" t="s">
        <v>196</v>
      </c>
      <c r="D111" s="141" t="s">
        <v>319</v>
      </c>
      <c r="E111" s="142"/>
      <c r="F111" s="15" t="s">
        <v>344</v>
      </c>
      <c r="G111" s="22">
        <v>2</v>
      </c>
      <c r="H111" s="22">
        <v>0</v>
      </c>
      <c r="I111" s="22">
        <f t="shared" si="98"/>
        <v>0</v>
      </c>
      <c r="J111" s="22">
        <f t="shared" si="99"/>
        <v>0</v>
      </c>
      <c r="K111" s="22">
        <f t="shared" si="100"/>
        <v>0</v>
      </c>
      <c r="L111" s="22">
        <v>0.023</v>
      </c>
      <c r="M111" s="22">
        <f t="shared" si="101"/>
        <v>0.046</v>
      </c>
      <c r="N111" s="37" t="s">
        <v>372</v>
      </c>
      <c r="O111" s="39"/>
      <c r="Z111" s="41">
        <f t="shared" si="102"/>
        <v>0</v>
      </c>
      <c r="AB111" s="41">
        <f t="shared" si="103"/>
        <v>0</v>
      </c>
      <c r="AC111" s="41">
        <f t="shared" si="104"/>
        <v>0</v>
      </c>
      <c r="AD111" s="41">
        <f t="shared" si="105"/>
        <v>0</v>
      </c>
      <c r="AE111" s="41">
        <f t="shared" si="106"/>
        <v>0</v>
      </c>
      <c r="AF111" s="41">
        <f t="shared" si="107"/>
        <v>0</v>
      </c>
      <c r="AG111" s="41">
        <f t="shared" si="108"/>
        <v>0</v>
      </c>
      <c r="AH111" s="41">
        <f t="shared" si="109"/>
        <v>0</v>
      </c>
      <c r="AI111" s="31"/>
      <c r="AJ111" s="22">
        <f t="shared" si="110"/>
        <v>0</v>
      </c>
      <c r="AK111" s="22">
        <f t="shared" si="111"/>
        <v>0</v>
      </c>
      <c r="AL111" s="22">
        <f t="shared" si="112"/>
        <v>0</v>
      </c>
      <c r="AN111" s="41">
        <v>15</v>
      </c>
      <c r="AO111" s="41">
        <f t="shared" si="113"/>
        <v>0</v>
      </c>
      <c r="AP111" s="41">
        <f t="shared" si="114"/>
        <v>0</v>
      </c>
      <c r="AQ111" s="43" t="s">
        <v>383</v>
      </c>
      <c r="AV111" s="41">
        <f t="shared" si="115"/>
        <v>0</v>
      </c>
      <c r="AW111" s="41">
        <f t="shared" si="116"/>
        <v>0</v>
      </c>
      <c r="AX111" s="41">
        <f t="shared" si="117"/>
        <v>0</v>
      </c>
      <c r="AY111" s="44" t="s">
        <v>406</v>
      </c>
      <c r="AZ111" s="44" t="s">
        <v>415</v>
      </c>
      <c r="BA111" s="31" t="s">
        <v>416</v>
      </c>
      <c r="BC111" s="41">
        <f t="shared" si="118"/>
        <v>0</v>
      </c>
      <c r="BD111" s="41">
        <f t="shared" si="119"/>
        <v>0</v>
      </c>
      <c r="BE111" s="41">
        <v>0</v>
      </c>
      <c r="BF111" s="41">
        <f t="shared" si="120"/>
        <v>0.046</v>
      </c>
      <c r="BH111" s="22">
        <f t="shared" si="121"/>
        <v>0</v>
      </c>
      <c r="BI111" s="22">
        <f t="shared" si="122"/>
        <v>0</v>
      </c>
      <c r="BJ111" s="22">
        <f t="shared" si="123"/>
        <v>0</v>
      </c>
      <c r="BK111" s="22" t="s">
        <v>422</v>
      </c>
      <c r="BL111" s="41"/>
    </row>
    <row r="112" spans="1:64" ht="12.75">
      <c r="A112" s="6" t="s">
        <v>83</v>
      </c>
      <c r="B112" s="15"/>
      <c r="C112" s="15" t="s">
        <v>197</v>
      </c>
      <c r="D112" s="141" t="s">
        <v>320</v>
      </c>
      <c r="E112" s="142"/>
      <c r="F112" s="15" t="s">
        <v>344</v>
      </c>
      <c r="G112" s="22">
        <v>2</v>
      </c>
      <c r="H112" s="22">
        <v>0</v>
      </c>
      <c r="I112" s="22">
        <f t="shared" si="98"/>
        <v>0</v>
      </c>
      <c r="J112" s="22">
        <f t="shared" si="99"/>
        <v>0</v>
      </c>
      <c r="K112" s="22">
        <f t="shared" si="100"/>
        <v>0</v>
      </c>
      <c r="L112" s="22">
        <v>0.026</v>
      </c>
      <c r="M112" s="22">
        <f t="shared" si="101"/>
        <v>0.052</v>
      </c>
      <c r="N112" s="37" t="s">
        <v>372</v>
      </c>
      <c r="O112" s="39"/>
      <c r="Z112" s="41">
        <f t="shared" si="102"/>
        <v>0</v>
      </c>
      <c r="AB112" s="41">
        <f t="shared" si="103"/>
        <v>0</v>
      </c>
      <c r="AC112" s="41">
        <f t="shared" si="104"/>
        <v>0</v>
      </c>
      <c r="AD112" s="41">
        <f t="shared" si="105"/>
        <v>0</v>
      </c>
      <c r="AE112" s="41">
        <f t="shared" si="106"/>
        <v>0</v>
      </c>
      <c r="AF112" s="41">
        <f t="shared" si="107"/>
        <v>0</v>
      </c>
      <c r="AG112" s="41">
        <f t="shared" si="108"/>
        <v>0</v>
      </c>
      <c r="AH112" s="41">
        <f t="shared" si="109"/>
        <v>0</v>
      </c>
      <c r="AI112" s="31"/>
      <c r="AJ112" s="22">
        <f t="shared" si="110"/>
        <v>0</v>
      </c>
      <c r="AK112" s="22">
        <f t="shared" si="111"/>
        <v>0</v>
      </c>
      <c r="AL112" s="22">
        <f t="shared" si="112"/>
        <v>0</v>
      </c>
      <c r="AN112" s="41">
        <v>15</v>
      </c>
      <c r="AO112" s="41">
        <f t="shared" si="113"/>
        <v>0</v>
      </c>
      <c r="AP112" s="41">
        <f t="shared" si="114"/>
        <v>0</v>
      </c>
      <c r="AQ112" s="43" t="s">
        <v>383</v>
      </c>
      <c r="AV112" s="41">
        <f t="shared" si="115"/>
        <v>0</v>
      </c>
      <c r="AW112" s="41">
        <f t="shared" si="116"/>
        <v>0</v>
      </c>
      <c r="AX112" s="41">
        <f t="shared" si="117"/>
        <v>0</v>
      </c>
      <c r="AY112" s="44" t="s">
        <v>406</v>
      </c>
      <c r="AZ112" s="44" t="s">
        <v>415</v>
      </c>
      <c r="BA112" s="31" t="s">
        <v>416</v>
      </c>
      <c r="BC112" s="41">
        <f t="shared" si="118"/>
        <v>0</v>
      </c>
      <c r="BD112" s="41">
        <f t="shared" si="119"/>
        <v>0</v>
      </c>
      <c r="BE112" s="41">
        <v>0</v>
      </c>
      <c r="BF112" s="41">
        <f t="shared" si="120"/>
        <v>0.052</v>
      </c>
      <c r="BH112" s="22">
        <f t="shared" si="121"/>
        <v>0</v>
      </c>
      <c r="BI112" s="22">
        <f t="shared" si="122"/>
        <v>0</v>
      </c>
      <c r="BJ112" s="22">
        <f t="shared" si="123"/>
        <v>0</v>
      </c>
      <c r="BK112" s="22" t="s">
        <v>422</v>
      </c>
      <c r="BL112" s="41"/>
    </row>
    <row r="113" spans="1:64" ht="12.75">
      <c r="A113" s="6" t="s">
        <v>84</v>
      </c>
      <c r="B113" s="15"/>
      <c r="C113" s="15" t="s">
        <v>198</v>
      </c>
      <c r="D113" s="141" t="s">
        <v>321</v>
      </c>
      <c r="E113" s="142"/>
      <c r="F113" s="15" t="s">
        <v>344</v>
      </c>
      <c r="G113" s="22">
        <v>1</v>
      </c>
      <c r="H113" s="22">
        <v>0</v>
      </c>
      <c r="I113" s="22">
        <f t="shared" si="98"/>
        <v>0</v>
      </c>
      <c r="J113" s="22">
        <f t="shared" si="99"/>
        <v>0</v>
      </c>
      <c r="K113" s="22">
        <f t="shared" si="100"/>
        <v>0</v>
      </c>
      <c r="L113" s="22">
        <v>0.045</v>
      </c>
      <c r="M113" s="22">
        <f t="shared" si="101"/>
        <v>0.045</v>
      </c>
      <c r="N113" s="37" t="s">
        <v>372</v>
      </c>
      <c r="O113" s="39"/>
      <c r="Z113" s="41">
        <f t="shared" si="102"/>
        <v>0</v>
      </c>
      <c r="AB113" s="41">
        <f t="shared" si="103"/>
        <v>0</v>
      </c>
      <c r="AC113" s="41">
        <f t="shared" si="104"/>
        <v>0</v>
      </c>
      <c r="AD113" s="41">
        <f t="shared" si="105"/>
        <v>0</v>
      </c>
      <c r="AE113" s="41">
        <f t="shared" si="106"/>
        <v>0</v>
      </c>
      <c r="AF113" s="41">
        <f t="shared" si="107"/>
        <v>0</v>
      </c>
      <c r="AG113" s="41">
        <f t="shared" si="108"/>
        <v>0</v>
      </c>
      <c r="AH113" s="41">
        <f t="shared" si="109"/>
        <v>0</v>
      </c>
      <c r="AI113" s="31"/>
      <c r="AJ113" s="22">
        <f t="shared" si="110"/>
        <v>0</v>
      </c>
      <c r="AK113" s="22">
        <f t="shared" si="111"/>
        <v>0</v>
      </c>
      <c r="AL113" s="22">
        <f t="shared" si="112"/>
        <v>0</v>
      </c>
      <c r="AN113" s="41">
        <v>15</v>
      </c>
      <c r="AO113" s="41">
        <f t="shared" si="113"/>
        <v>0</v>
      </c>
      <c r="AP113" s="41">
        <f t="shared" si="114"/>
        <v>0</v>
      </c>
      <c r="AQ113" s="43" t="s">
        <v>383</v>
      </c>
      <c r="AV113" s="41">
        <f t="shared" si="115"/>
        <v>0</v>
      </c>
      <c r="AW113" s="41">
        <f t="shared" si="116"/>
        <v>0</v>
      </c>
      <c r="AX113" s="41">
        <f t="shared" si="117"/>
        <v>0</v>
      </c>
      <c r="AY113" s="44" t="s">
        <v>406</v>
      </c>
      <c r="AZ113" s="44" t="s">
        <v>415</v>
      </c>
      <c r="BA113" s="31" t="s">
        <v>416</v>
      </c>
      <c r="BC113" s="41">
        <f t="shared" si="118"/>
        <v>0</v>
      </c>
      <c r="BD113" s="41">
        <f t="shared" si="119"/>
        <v>0</v>
      </c>
      <c r="BE113" s="41">
        <v>0</v>
      </c>
      <c r="BF113" s="41">
        <f t="shared" si="120"/>
        <v>0.045</v>
      </c>
      <c r="BH113" s="22">
        <f t="shared" si="121"/>
        <v>0</v>
      </c>
      <c r="BI113" s="22">
        <f t="shared" si="122"/>
        <v>0</v>
      </c>
      <c r="BJ113" s="22">
        <f t="shared" si="123"/>
        <v>0</v>
      </c>
      <c r="BK113" s="22" t="s">
        <v>422</v>
      </c>
      <c r="BL113" s="41"/>
    </row>
    <row r="114" spans="1:64" ht="12.75">
      <c r="A114" s="6" t="s">
        <v>85</v>
      </c>
      <c r="B114" s="15"/>
      <c r="C114" s="15" t="s">
        <v>199</v>
      </c>
      <c r="D114" s="141" t="s">
        <v>322</v>
      </c>
      <c r="E114" s="142"/>
      <c r="F114" s="15" t="s">
        <v>344</v>
      </c>
      <c r="G114" s="22">
        <v>2</v>
      </c>
      <c r="H114" s="22">
        <v>0</v>
      </c>
      <c r="I114" s="22">
        <f t="shared" si="98"/>
        <v>0</v>
      </c>
      <c r="J114" s="22">
        <f t="shared" si="99"/>
        <v>0</v>
      </c>
      <c r="K114" s="22">
        <f t="shared" si="100"/>
        <v>0</v>
      </c>
      <c r="L114" s="22">
        <v>0.016</v>
      </c>
      <c r="M114" s="22">
        <f t="shared" si="101"/>
        <v>0.032</v>
      </c>
      <c r="N114" s="37" t="s">
        <v>372</v>
      </c>
      <c r="O114" s="39"/>
      <c r="Z114" s="41">
        <f t="shared" si="102"/>
        <v>0</v>
      </c>
      <c r="AB114" s="41">
        <f t="shared" si="103"/>
        <v>0</v>
      </c>
      <c r="AC114" s="41">
        <f t="shared" si="104"/>
        <v>0</v>
      </c>
      <c r="AD114" s="41">
        <f t="shared" si="105"/>
        <v>0</v>
      </c>
      <c r="AE114" s="41">
        <f t="shared" si="106"/>
        <v>0</v>
      </c>
      <c r="AF114" s="41">
        <f t="shared" si="107"/>
        <v>0</v>
      </c>
      <c r="AG114" s="41">
        <f t="shared" si="108"/>
        <v>0</v>
      </c>
      <c r="AH114" s="41">
        <f t="shared" si="109"/>
        <v>0</v>
      </c>
      <c r="AI114" s="31"/>
      <c r="AJ114" s="22">
        <f t="shared" si="110"/>
        <v>0</v>
      </c>
      <c r="AK114" s="22">
        <f t="shared" si="111"/>
        <v>0</v>
      </c>
      <c r="AL114" s="22">
        <f t="shared" si="112"/>
        <v>0</v>
      </c>
      <c r="AN114" s="41">
        <v>15</v>
      </c>
      <c r="AO114" s="41">
        <f t="shared" si="113"/>
        <v>0</v>
      </c>
      <c r="AP114" s="41">
        <f t="shared" si="114"/>
        <v>0</v>
      </c>
      <c r="AQ114" s="43" t="s">
        <v>383</v>
      </c>
      <c r="AV114" s="41">
        <f t="shared" si="115"/>
        <v>0</v>
      </c>
      <c r="AW114" s="41">
        <f t="shared" si="116"/>
        <v>0</v>
      </c>
      <c r="AX114" s="41">
        <f t="shared" si="117"/>
        <v>0</v>
      </c>
      <c r="AY114" s="44" t="s">
        <v>406</v>
      </c>
      <c r="AZ114" s="44" t="s">
        <v>415</v>
      </c>
      <c r="BA114" s="31" t="s">
        <v>416</v>
      </c>
      <c r="BC114" s="41">
        <f t="shared" si="118"/>
        <v>0</v>
      </c>
      <c r="BD114" s="41">
        <f t="shared" si="119"/>
        <v>0</v>
      </c>
      <c r="BE114" s="41">
        <v>0</v>
      </c>
      <c r="BF114" s="41">
        <f t="shared" si="120"/>
        <v>0.032</v>
      </c>
      <c r="BH114" s="22">
        <f t="shared" si="121"/>
        <v>0</v>
      </c>
      <c r="BI114" s="22">
        <f t="shared" si="122"/>
        <v>0</v>
      </c>
      <c r="BJ114" s="22">
        <f t="shared" si="123"/>
        <v>0</v>
      </c>
      <c r="BK114" s="22" t="s">
        <v>422</v>
      </c>
      <c r="BL114" s="41"/>
    </row>
    <row r="115" spans="1:64" ht="12.75">
      <c r="A115" s="6" t="s">
        <v>86</v>
      </c>
      <c r="B115" s="15"/>
      <c r="C115" s="15" t="s">
        <v>200</v>
      </c>
      <c r="D115" s="141" t="s">
        <v>323</v>
      </c>
      <c r="E115" s="142"/>
      <c r="F115" s="15" t="s">
        <v>344</v>
      </c>
      <c r="G115" s="22">
        <v>2</v>
      </c>
      <c r="H115" s="22">
        <v>0</v>
      </c>
      <c r="I115" s="22">
        <f t="shared" si="98"/>
        <v>0</v>
      </c>
      <c r="J115" s="22">
        <f t="shared" si="99"/>
        <v>0</v>
      </c>
      <c r="K115" s="22">
        <f t="shared" si="100"/>
        <v>0</v>
      </c>
      <c r="L115" s="22">
        <v>0.016</v>
      </c>
      <c r="M115" s="22">
        <f t="shared" si="101"/>
        <v>0.032</v>
      </c>
      <c r="N115" s="37" t="s">
        <v>372</v>
      </c>
      <c r="O115" s="39"/>
      <c r="Z115" s="41">
        <f t="shared" si="102"/>
        <v>0</v>
      </c>
      <c r="AB115" s="41">
        <f t="shared" si="103"/>
        <v>0</v>
      </c>
      <c r="AC115" s="41">
        <f t="shared" si="104"/>
        <v>0</v>
      </c>
      <c r="AD115" s="41">
        <f t="shared" si="105"/>
        <v>0</v>
      </c>
      <c r="AE115" s="41">
        <f t="shared" si="106"/>
        <v>0</v>
      </c>
      <c r="AF115" s="41">
        <f t="shared" si="107"/>
        <v>0</v>
      </c>
      <c r="AG115" s="41">
        <f t="shared" si="108"/>
        <v>0</v>
      </c>
      <c r="AH115" s="41">
        <f t="shared" si="109"/>
        <v>0</v>
      </c>
      <c r="AI115" s="31"/>
      <c r="AJ115" s="22">
        <f t="shared" si="110"/>
        <v>0</v>
      </c>
      <c r="AK115" s="22">
        <f t="shared" si="111"/>
        <v>0</v>
      </c>
      <c r="AL115" s="22">
        <f t="shared" si="112"/>
        <v>0</v>
      </c>
      <c r="AN115" s="41">
        <v>15</v>
      </c>
      <c r="AO115" s="41">
        <f t="shared" si="113"/>
        <v>0</v>
      </c>
      <c r="AP115" s="41">
        <f t="shared" si="114"/>
        <v>0</v>
      </c>
      <c r="AQ115" s="43" t="s">
        <v>383</v>
      </c>
      <c r="AV115" s="41">
        <f t="shared" si="115"/>
        <v>0</v>
      </c>
      <c r="AW115" s="41">
        <f t="shared" si="116"/>
        <v>0</v>
      </c>
      <c r="AX115" s="41">
        <f t="shared" si="117"/>
        <v>0</v>
      </c>
      <c r="AY115" s="44" t="s">
        <v>406</v>
      </c>
      <c r="AZ115" s="44" t="s">
        <v>415</v>
      </c>
      <c r="BA115" s="31" t="s">
        <v>416</v>
      </c>
      <c r="BC115" s="41">
        <f t="shared" si="118"/>
        <v>0</v>
      </c>
      <c r="BD115" s="41">
        <f t="shared" si="119"/>
        <v>0</v>
      </c>
      <c r="BE115" s="41">
        <v>0</v>
      </c>
      <c r="BF115" s="41">
        <f t="shared" si="120"/>
        <v>0.032</v>
      </c>
      <c r="BH115" s="22">
        <f t="shared" si="121"/>
        <v>0</v>
      </c>
      <c r="BI115" s="22">
        <f t="shared" si="122"/>
        <v>0</v>
      </c>
      <c r="BJ115" s="22">
        <f t="shared" si="123"/>
        <v>0</v>
      </c>
      <c r="BK115" s="22" t="s">
        <v>422</v>
      </c>
      <c r="BL115" s="41"/>
    </row>
    <row r="116" spans="1:64" ht="12.75">
      <c r="A116" s="6" t="s">
        <v>87</v>
      </c>
      <c r="B116" s="15"/>
      <c r="C116" s="15" t="s">
        <v>201</v>
      </c>
      <c r="D116" s="141" t="s">
        <v>324</v>
      </c>
      <c r="E116" s="142"/>
      <c r="F116" s="15" t="s">
        <v>344</v>
      </c>
      <c r="G116" s="22">
        <v>2</v>
      </c>
      <c r="H116" s="22">
        <v>0</v>
      </c>
      <c r="I116" s="22">
        <f t="shared" si="98"/>
        <v>0</v>
      </c>
      <c r="J116" s="22">
        <f t="shared" si="99"/>
        <v>0</v>
      </c>
      <c r="K116" s="22">
        <f t="shared" si="100"/>
        <v>0</v>
      </c>
      <c r="L116" s="22">
        <v>0.018</v>
      </c>
      <c r="M116" s="22">
        <f t="shared" si="101"/>
        <v>0.036</v>
      </c>
      <c r="N116" s="37" t="s">
        <v>372</v>
      </c>
      <c r="O116" s="39"/>
      <c r="Z116" s="41">
        <f t="shared" si="102"/>
        <v>0</v>
      </c>
      <c r="AB116" s="41">
        <f t="shared" si="103"/>
        <v>0</v>
      </c>
      <c r="AC116" s="41">
        <f t="shared" si="104"/>
        <v>0</v>
      </c>
      <c r="AD116" s="41">
        <f t="shared" si="105"/>
        <v>0</v>
      </c>
      <c r="AE116" s="41">
        <f t="shared" si="106"/>
        <v>0</v>
      </c>
      <c r="AF116" s="41">
        <f t="shared" si="107"/>
        <v>0</v>
      </c>
      <c r="AG116" s="41">
        <f t="shared" si="108"/>
        <v>0</v>
      </c>
      <c r="AH116" s="41">
        <f t="shared" si="109"/>
        <v>0</v>
      </c>
      <c r="AI116" s="31"/>
      <c r="AJ116" s="22">
        <f t="shared" si="110"/>
        <v>0</v>
      </c>
      <c r="AK116" s="22">
        <f t="shared" si="111"/>
        <v>0</v>
      </c>
      <c r="AL116" s="22">
        <f t="shared" si="112"/>
        <v>0</v>
      </c>
      <c r="AN116" s="41">
        <v>15</v>
      </c>
      <c r="AO116" s="41">
        <f t="shared" si="113"/>
        <v>0</v>
      </c>
      <c r="AP116" s="41">
        <f t="shared" si="114"/>
        <v>0</v>
      </c>
      <c r="AQ116" s="43" t="s">
        <v>383</v>
      </c>
      <c r="AV116" s="41">
        <f t="shared" si="115"/>
        <v>0</v>
      </c>
      <c r="AW116" s="41">
        <f t="shared" si="116"/>
        <v>0</v>
      </c>
      <c r="AX116" s="41">
        <f t="shared" si="117"/>
        <v>0</v>
      </c>
      <c r="AY116" s="44" t="s">
        <v>406</v>
      </c>
      <c r="AZ116" s="44" t="s">
        <v>415</v>
      </c>
      <c r="BA116" s="31" t="s">
        <v>416</v>
      </c>
      <c r="BC116" s="41">
        <f t="shared" si="118"/>
        <v>0</v>
      </c>
      <c r="BD116" s="41">
        <f t="shared" si="119"/>
        <v>0</v>
      </c>
      <c r="BE116" s="41">
        <v>0</v>
      </c>
      <c r="BF116" s="41">
        <f t="shared" si="120"/>
        <v>0.036</v>
      </c>
      <c r="BH116" s="22">
        <f t="shared" si="121"/>
        <v>0</v>
      </c>
      <c r="BI116" s="22">
        <f t="shared" si="122"/>
        <v>0</v>
      </c>
      <c r="BJ116" s="22">
        <f t="shared" si="123"/>
        <v>0</v>
      </c>
      <c r="BK116" s="22" t="s">
        <v>422</v>
      </c>
      <c r="BL116" s="41"/>
    </row>
    <row r="117" spans="1:64" ht="12.75">
      <c r="A117" s="6" t="s">
        <v>88</v>
      </c>
      <c r="B117" s="15"/>
      <c r="C117" s="15" t="s">
        <v>202</v>
      </c>
      <c r="D117" s="141" t="s">
        <v>325</v>
      </c>
      <c r="E117" s="142"/>
      <c r="F117" s="15" t="s">
        <v>344</v>
      </c>
      <c r="G117" s="22">
        <v>4</v>
      </c>
      <c r="H117" s="22">
        <v>0</v>
      </c>
      <c r="I117" s="22">
        <f t="shared" si="98"/>
        <v>0</v>
      </c>
      <c r="J117" s="22">
        <f t="shared" si="99"/>
        <v>0</v>
      </c>
      <c r="K117" s="22">
        <f t="shared" si="100"/>
        <v>0</v>
      </c>
      <c r="L117" s="22">
        <v>0.026</v>
      </c>
      <c r="M117" s="22">
        <f t="shared" si="101"/>
        <v>0.104</v>
      </c>
      <c r="N117" s="37" t="s">
        <v>372</v>
      </c>
      <c r="O117" s="39"/>
      <c r="Z117" s="41">
        <f t="shared" si="102"/>
        <v>0</v>
      </c>
      <c r="AB117" s="41">
        <f t="shared" si="103"/>
        <v>0</v>
      </c>
      <c r="AC117" s="41">
        <f t="shared" si="104"/>
        <v>0</v>
      </c>
      <c r="AD117" s="41">
        <f t="shared" si="105"/>
        <v>0</v>
      </c>
      <c r="AE117" s="41">
        <f t="shared" si="106"/>
        <v>0</v>
      </c>
      <c r="AF117" s="41">
        <f t="shared" si="107"/>
        <v>0</v>
      </c>
      <c r="AG117" s="41">
        <f t="shared" si="108"/>
        <v>0</v>
      </c>
      <c r="AH117" s="41">
        <f t="shared" si="109"/>
        <v>0</v>
      </c>
      <c r="AI117" s="31"/>
      <c r="AJ117" s="22">
        <f t="shared" si="110"/>
        <v>0</v>
      </c>
      <c r="AK117" s="22">
        <f t="shared" si="111"/>
        <v>0</v>
      </c>
      <c r="AL117" s="22">
        <f t="shared" si="112"/>
        <v>0</v>
      </c>
      <c r="AN117" s="41">
        <v>15</v>
      </c>
      <c r="AO117" s="41">
        <f t="shared" si="113"/>
        <v>0</v>
      </c>
      <c r="AP117" s="41">
        <f t="shared" si="114"/>
        <v>0</v>
      </c>
      <c r="AQ117" s="43" t="s">
        <v>383</v>
      </c>
      <c r="AV117" s="41">
        <f t="shared" si="115"/>
        <v>0</v>
      </c>
      <c r="AW117" s="41">
        <f t="shared" si="116"/>
        <v>0</v>
      </c>
      <c r="AX117" s="41">
        <f t="shared" si="117"/>
        <v>0</v>
      </c>
      <c r="AY117" s="44" t="s">
        <v>406</v>
      </c>
      <c r="AZ117" s="44" t="s">
        <v>415</v>
      </c>
      <c r="BA117" s="31" t="s">
        <v>416</v>
      </c>
      <c r="BC117" s="41">
        <f t="shared" si="118"/>
        <v>0</v>
      </c>
      <c r="BD117" s="41">
        <f t="shared" si="119"/>
        <v>0</v>
      </c>
      <c r="BE117" s="41">
        <v>0</v>
      </c>
      <c r="BF117" s="41">
        <f t="shared" si="120"/>
        <v>0.104</v>
      </c>
      <c r="BH117" s="22">
        <f t="shared" si="121"/>
        <v>0</v>
      </c>
      <c r="BI117" s="22">
        <f t="shared" si="122"/>
        <v>0</v>
      </c>
      <c r="BJ117" s="22">
        <f t="shared" si="123"/>
        <v>0</v>
      </c>
      <c r="BK117" s="22" t="s">
        <v>422</v>
      </c>
      <c r="BL117" s="41"/>
    </row>
    <row r="118" spans="1:64" ht="12.75">
      <c r="A118" s="6" t="s">
        <v>89</v>
      </c>
      <c r="B118" s="15"/>
      <c r="C118" s="15" t="s">
        <v>203</v>
      </c>
      <c r="D118" s="141" t="s">
        <v>326</v>
      </c>
      <c r="E118" s="142"/>
      <c r="F118" s="15" t="s">
        <v>344</v>
      </c>
      <c r="G118" s="22">
        <v>2</v>
      </c>
      <c r="H118" s="22">
        <v>0</v>
      </c>
      <c r="I118" s="22">
        <f t="shared" si="98"/>
        <v>0</v>
      </c>
      <c r="J118" s="22">
        <f t="shared" si="99"/>
        <v>0</v>
      </c>
      <c r="K118" s="22">
        <f t="shared" si="100"/>
        <v>0</v>
      </c>
      <c r="L118" s="22">
        <v>0.052</v>
      </c>
      <c r="M118" s="22">
        <f t="shared" si="101"/>
        <v>0.104</v>
      </c>
      <c r="N118" s="37" t="s">
        <v>372</v>
      </c>
      <c r="O118" s="39"/>
      <c r="Z118" s="41">
        <f t="shared" si="102"/>
        <v>0</v>
      </c>
      <c r="AB118" s="41">
        <f t="shared" si="103"/>
        <v>0</v>
      </c>
      <c r="AC118" s="41">
        <f t="shared" si="104"/>
        <v>0</v>
      </c>
      <c r="AD118" s="41">
        <f t="shared" si="105"/>
        <v>0</v>
      </c>
      <c r="AE118" s="41">
        <f t="shared" si="106"/>
        <v>0</v>
      </c>
      <c r="AF118" s="41">
        <f t="shared" si="107"/>
        <v>0</v>
      </c>
      <c r="AG118" s="41">
        <f t="shared" si="108"/>
        <v>0</v>
      </c>
      <c r="AH118" s="41">
        <f t="shared" si="109"/>
        <v>0</v>
      </c>
      <c r="AI118" s="31"/>
      <c r="AJ118" s="22">
        <f t="shared" si="110"/>
        <v>0</v>
      </c>
      <c r="AK118" s="22">
        <f t="shared" si="111"/>
        <v>0</v>
      </c>
      <c r="AL118" s="22">
        <f t="shared" si="112"/>
        <v>0</v>
      </c>
      <c r="AN118" s="41">
        <v>15</v>
      </c>
      <c r="AO118" s="41">
        <f t="shared" si="113"/>
        <v>0</v>
      </c>
      <c r="AP118" s="41">
        <f t="shared" si="114"/>
        <v>0</v>
      </c>
      <c r="AQ118" s="43" t="s">
        <v>383</v>
      </c>
      <c r="AV118" s="41">
        <f t="shared" si="115"/>
        <v>0</v>
      </c>
      <c r="AW118" s="41">
        <f t="shared" si="116"/>
        <v>0</v>
      </c>
      <c r="AX118" s="41">
        <f t="shared" si="117"/>
        <v>0</v>
      </c>
      <c r="AY118" s="44" t="s">
        <v>406</v>
      </c>
      <c r="AZ118" s="44" t="s">
        <v>415</v>
      </c>
      <c r="BA118" s="31" t="s">
        <v>416</v>
      </c>
      <c r="BC118" s="41">
        <f t="shared" si="118"/>
        <v>0</v>
      </c>
      <c r="BD118" s="41">
        <f t="shared" si="119"/>
        <v>0</v>
      </c>
      <c r="BE118" s="41">
        <v>0</v>
      </c>
      <c r="BF118" s="41">
        <f t="shared" si="120"/>
        <v>0.104</v>
      </c>
      <c r="BH118" s="22">
        <f t="shared" si="121"/>
        <v>0</v>
      </c>
      <c r="BI118" s="22">
        <f t="shared" si="122"/>
        <v>0</v>
      </c>
      <c r="BJ118" s="22">
        <f t="shared" si="123"/>
        <v>0</v>
      </c>
      <c r="BK118" s="22" t="s">
        <v>422</v>
      </c>
      <c r="BL118" s="41"/>
    </row>
    <row r="119" spans="1:64" ht="12.75">
      <c r="A119" s="6" t="s">
        <v>90</v>
      </c>
      <c r="B119" s="15"/>
      <c r="C119" s="15" t="s">
        <v>204</v>
      </c>
      <c r="D119" s="141" t="s">
        <v>327</v>
      </c>
      <c r="E119" s="142"/>
      <c r="F119" s="15" t="s">
        <v>344</v>
      </c>
      <c r="G119" s="22">
        <v>1</v>
      </c>
      <c r="H119" s="22">
        <v>0</v>
      </c>
      <c r="I119" s="22">
        <f t="shared" si="98"/>
        <v>0</v>
      </c>
      <c r="J119" s="22">
        <f t="shared" si="99"/>
        <v>0</v>
      </c>
      <c r="K119" s="22">
        <f t="shared" si="100"/>
        <v>0</v>
      </c>
      <c r="L119" s="22">
        <v>0.00047</v>
      </c>
      <c r="M119" s="22">
        <f t="shared" si="101"/>
        <v>0.00047</v>
      </c>
      <c r="N119" s="37" t="s">
        <v>372</v>
      </c>
      <c r="O119" s="39"/>
      <c r="Z119" s="41">
        <f t="shared" si="102"/>
        <v>0</v>
      </c>
      <c r="AB119" s="41">
        <f t="shared" si="103"/>
        <v>0</v>
      </c>
      <c r="AC119" s="41">
        <f t="shared" si="104"/>
        <v>0</v>
      </c>
      <c r="AD119" s="41">
        <f t="shared" si="105"/>
        <v>0</v>
      </c>
      <c r="AE119" s="41">
        <f t="shared" si="106"/>
        <v>0</v>
      </c>
      <c r="AF119" s="41">
        <f t="shared" si="107"/>
        <v>0</v>
      </c>
      <c r="AG119" s="41">
        <f t="shared" si="108"/>
        <v>0</v>
      </c>
      <c r="AH119" s="41">
        <f t="shared" si="109"/>
        <v>0</v>
      </c>
      <c r="AI119" s="31"/>
      <c r="AJ119" s="22">
        <f t="shared" si="110"/>
        <v>0</v>
      </c>
      <c r="AK119" s="22">
        <f t="shared" si="111"/>
        <v>0</v>
      </c>
      <c r="AL119" s="22">
        <f t="shared" si="112"/>
        <v>0</v>
      </c>
      <c r="AN119" s="41">
        <v>15</v>
      </c>
      <c r="AO119" s="41">
        <f t="shared" si="113"/>
        <v>0</v>
      </c>
      <c r="AP119" s="41">
        <f t="shared" si="114"/>
        <v>0</v>
      </c>
      <c r="AQ119" s="43" t="s">
        <v>383</v>
      </c>
      <c r="AV119" s="41">
        <f t="shared" si="115"/>
        <v>0</v>
      </c>
      <c r="AW119" s="41">
        <f t="shared" si="116"/>
        <v>0</v>
      </c>
      <c r="AX119" s="41">
        <f t="shared" si="117"/>
        <v>0</v>
      </c>
      <c r="AY119" s="44" t="s">
        <v>406</v>
      </c>
      <c r="AZ119" s="44" t="s">
        <v>415</v>
      </c>
      <c r="BA119" s="31" t="s">
        <v>416</v>
      </c>
      <c r="BC119" s="41">
        <f t="shared" si="118"/>
        <v>0</v>
      </c>
      <c r="BD119" s="41">
        <f t="shared" si="119"/>
        <v>0</v>
      </c>
      <c r="BE119" s="41">
        <v>0</v>
      </c>
      <c r="BF119" s="41">
        <f t="shared" si="120"/>
        <v>0.00047</v>
      </c>
      <c r="BH119" s="22">
        <f t="shared" si="121"/>
        <v>0</v>
      </c>
      <c r="BI119" s="22">
        <f t="shared" si="122"/>
        <v>0</v>
      </c>
      <c r="BJ119" s="22">
        <f t="shared" si="123"/>
        <v>0</v>
      </c>
      <c r="BK119" s="22" t="s">
        <v>422</v>
      </c>
      <c r="BL119" s="41"/>
    </row>
    <row r="120" spans="1:64" ht="12.75">
      <c r="A120" s="6" t="s">
        <v>91</v>
      </c>
      <c r="B120" s="15"/>
      <c r="C120" s="15" t="s">
        <v>205</v>
      </c>
      <c r="D120" s="141" t="s">
        <v>328</v>
      </c>
      <c r="E120" s="142"/>
      <c r="F120" s="15" t="s">
        <v>344</v>
      </c>
      <c r="G120" s="22">
        <v>4</v>
      </c>
      <c r="H120" s="22">
        <v>0</v>
      </c>
      <c r="I120" s="22">
        <f t="shared" si="98"/>
        <v>0</v>
      </c>
      <c r="J120" s="22">
        <f t="shared" si="99"/>
        <v>0</v>
      </c>
      <c r="K120" s="22">
        <f t="shared" si="100"/>
        <v>0</v>
      </c>
      <c r="L120" s="22">
        <v>0.00012</v>
      </c>
      <c r="M120" s="22">
        <f t="shared" si="101"/>
        <v>0.00048</v>
      </c>
      <c r="N120" s="37" t="s">
        <v>372</v>
      </c>
      <c r="O120" s="39"/>
      <c r="Z120" s="41">
        <f t="shared" si="102"/>
        <v>0</v>
      </c>
      <c r="AB120" s="41">
        <f t="shared" si="103"/>
        <v>0</v>
      </c>
      <c r="AC120" s="41">
        <f t="shared" si="104"/>
        <v>0</v>
      </c>
      <c r="AD120" s="41">
        <f t="shared" si="105"/>
        <v>0</v>
      </c>
      <c r="AE120" s="41">
        <f t="shared" si="106"/>
        <v>0</v>
      </c>
      <c r="AF120" s="41">
        <f t="shared" si="107"/>
        <v>0</v>
      </c>
      <c r="AG120" s="41">
        <f t="shared" si="108"/>
        <v>0</v>
      </c>
      <c r="AH120" s="41">
        <f t="shared" si="109"/>
        <v>0</v>
      </c>
      <c r="AI120" s="31"/>
      <c r="AJ120" s="22">
        <f t="shared" si="110"/>
        <v>0</v>
      </c>
      <c r="AK120" s="22">
        <f t="shared" si="111"/>
        <v>0</v>
      </c>
      <c r="AL120" s="22">
        <f t="shared" si="112"/>
        <v>0</v>
      </c>
      <c r="AN120" s="41">
        <v>15</v>
      </c>
      <c r="AO120" s="41">
        <f t="shared" si="113"/>
        <v>0</v>
      </c>
      <c r="AP120" s="41">
        <f t="shared" si="114"/>
        <v>0</v>
      </c>
      <c r="AQ120" s="43" t="s">
        <v>383</v>
      </c>
      <c r="AV120" s="41">
        <f t="shared" si="115"/>
        <v>0</v>
      </c>
      <c r="AW120" s="41">
        <f t="shared" si="116"/>
        <v>0</v>
      </c>
      <c r="AX120" s="41">
        <f t="shared" si="117"/>
        <v>0</v>
      </c>
      <c r="AY120" s="44" t="s">
        <v>406</v>
      </c>
      <c r="AZ120" s="44" t="s">
        <v>415</v>
      </c>
      <c r="BA120" s="31" t="s">
        <v>416</v>
      </c>
      <c r="BC120" s="41">
        <f t="shared" si="118"/>
        <v>0</v>
      </c>
      <c r="BD120" s="41">
        <f t="shared" si="119"/>
        <v>0</v>
      </c>
      <c r="BE120" s="41">
        <v>0</v>
      </c>
      <c r="BF120" s="41">
        <f t="shared" si="120"/>
        <v>0.00048</v>
      </c>
      <c r="BH120" s="22">
        <f t="shared" si="121"/>
        <v>0</v>
      </c>
      <c r="BI120" s="22">
        <f t="shared" si="122"/>
        <v>0</v>
      </c>
      <c r="BJ120" s="22">
        <f t="shared" si="123"/>
        <v>0</v>
      </c>
      <c r="BK120" s="22" t="s">
        <v>422</v>
      </c>
      <c r="BL120" s="41"/>
    </row>
    <row r="121" spans="1:64" ht="12.75">
      <c r="A121" s="6" t="s">
        <v>92</v>
      </c>
      <c r="B121" s="15"/>
      <c r="C121" s="15" t="s">
        <v>206</v>
      </c>
      <c r="D121" s="141" t="s">
        <v>329</v>
      </c>
      <c r="E121" s="142"/>
      <c r="F121" s="15" t="s">
        <v>344</v>
      </c>
      <c r="G121" s="22">
        <v>1</v>
      </c>
      <c r="H121" s="22">
        <v>0</v>
      </c>
      <c r="I121" s="22">
        <f t="shared" si="98"/>
        <v>0</v>
      </c>
      <c r="J121" s="22">
        <f t="shared" si="99"/>
        <v>0</v>
      </c>
      <c r="K121" s="22">
        <f t="shared" si="100"/>
        <v>0</v>
      </c>
      <c r="L121" s="22">
        <v>0.0016</v>
      </c>
      <c r="M121" s="22">
        <f t="shared" si="101"/>
        <v>0.0016</v>
      </c>
      <c r="N121" s="37" t="s">
        <v>372</v>
      </c>
      <c r="O121" s="39"/>
      <c r="Z121" s="41">
        <f t="shared" si="102"/>
        <v>0</v>
      </c>
      <c r="AB121" s="41">
        <f t="shared" si="103"/>
        <v>0</v>
      </c>
      <c r="AC121" s="41">
        <f t="shared" si="104"/>
        <v>0</v>
      </c>
      <c r="AD121" s="41">
        <f t="shared" si="105"/>
        <v>0</v>
      </c>
      <c r="AE121" s="41">
        <f t="shared" si="106"/>
        <v>0</v>
      </c>
      <c r="AF121" s="41">
        <f t="shared" si="107"/>
        <v>0</v>
      </c>
      <c r="AG121" s="41">
        <f t="shared" si="108"/>
        <v>0</v>
      </c>
      <c r="AH121" s="41">
        <f t="shared" si="109"/>
        <v>0</v>
      </c>
      <c r="AI121" s="31"/>
      <c r="AJ121" s="22">
        <f t="shared" si="110"/>
        <v>0</v>
      </c>
      <c r="AK121" s="22">
        <f t="shared" si="111"/>
        <v>0</v>
      </c>
      <c r="AL121" s="22">
        <f t="shared" si="112"/>
        <v>0</v>
      </c>
      <c r="AN121" s="41">
        <v>15</v>
      </c>
      <c r="AO121" s="41">
        <f t="shared" si="113"/>
        <v>0</v>
      </c>
      <c r="AP121" s="41">
        <f t="shared" si="114"/>
        <v>0</v>
      </c>
      <c r="AQ121" s="43" t="s">
        <v>383</v>
      </c>
      <c r="AV121" s="41">
        <f t="shared" si="115"/>
        <v>0</v>
      </c>
      <c r="AW121" s="41">
        <f t="shared" si="116"/>
        <v>0</v>
      </c>
      <c r="AX121" s="41">
        <f t="shared" si="117"/>
        <v>0</v>
      </c>
      <c r="AY121" s="44" t="s">
        <v>406</v>
      </c>
      <c r="AZ121" s="44" t="s">
        <v>415</v>
      </c>
      <c r="BA121" s="31" t="s">
        <v>416</v>
      </c>
      <c r="BC121" s="41">
        <f t="shared" si="118"/>
        <v>0</v>
      </c>
      <c r="BD121" s="41">
        <f t="shared" si="119"/>
        <v>0</v>
      </c>
      <c r="BE121" s="41">
        <v>0</v>
      </c>
      <c r="BF121" s="41">
        <f t="shared" si="120"/>
        <v>0.0016</v>
      </c>
      <c r="BH121" s="22">
        <f t="shared" si="121"/>
        <v>0</v>
      </c>
      <c r="BI121" s="22">
        <f t="shared" si="122"/>
        <v>0</v>
      </c>
      <c r="BJ121" s="22">
        <f t="shared" si="123"/>
        <v>0</v>
      </c>
      <c r="BK121" s="22" t="s">
        <v>422</v>
      </c>
      <c r="BL121" s="41"/>
    </row>
    <row r="122" spans="1:64" ht="12.75">
      <c r="A122" s="6" t="s">
        <v>93</v>
      </c>
      <c r="B122" s="15"/>
      <c r="C122" s="15" t="s">
        <v>207</v>
      </c>
      <c r="D122" s="141" t="s">
        <v>330</v>
      </c>
      <c r="E122" s="142"/>
      <c r="F122" s="15" t="s">
        <v>344</v>
      </c>
      <c r="G122" s="22">
        <v>1</v>
      </c>
      <c r="H122" s="22">
        <v>0</v>
      </c>
      <c r="I122" s="22">
        <f t="shared" si="98"/>
        <v>0</v>
      </c>
      <c r="J122" s="22">
        <f t="shared" si="99"/>
        <v>0</v>
      </c>
      <c r="K122" s="22">
        <f t="shared" si="100"/>
        <v>0</v>
      </c>
      <c r="L122" s="22">
        <v>0.0009</v>
      </c>
      <c r="M122" s="22">
        <f t="shared" si="101"/>
        <v>0.0009</v>
      </c>
      <c r="N122" s="37" t="s">
        <v>372</v>
      </c>
      <c r="O122" s="39"/>
      <c r="Z122" s="41">
        <f t="shared" si="102"/>
        <v>0</v>
      </c>
      <c r="AB122" s="41">
        <f t="shared" si="103"/>
        <v>0</v>
      </c>
      <c r="AC122" s="41">
        <f t="shared" si="104"/>
        <v>0</v>
      </c>
      <c r="AD122" s="41">
        <f t="shared" si="105"/>
        <v>0</v>
      </c>
      <c r="AE122" s="41">
        <f t="shared" si="106"/>
        <v>0</v>
      </c>
      <c r="AF122" s="41">
        <f t="shared" si="107"/>
        <v>0</v>
      </c>
      <c r="AG122" s="41">
        <f t="shared" si="108"/>
        <v>0</v>
      </c>
      <c r="AH122" s="41">
        <f t="shared" si="109"/>
        <v>0</v>
      </c>
      <c r="AI122" s="31"/>
      <c r="AJ122" s="22">
        <f t="shared" si="110"/>
        <v>0</v>
      </c>
      <c r="AK122" s="22">
        <f t="shared" si="111"/>
        <v>0</v>
      </c>
      <c r="AL122" s="22">
        <f t="shared" si="112"/>
        <v>0</v>
      </c>
      <c r="AN122" s="41">
        <v>15</v>
      </c>
      <c r="AO122" s="41">
        <f t="shared" si="113"/>
        <v>0</v>
      </c>
      <c r="AP122" s="41">
        <f t="shared" si="114"/>
        <v>0</v>
      </c>
      <c r="AQ122" s="43" t="s">
        <v>383</v>
      </c>
      <c r="AV122" s="41">
        <f t="shared" si="115"/>
        <v>0</v>
      </c>
      <c r="AW122" s="41">
        <f t="shared" si="116"/>
        <v>0</v>
      </c>
      <c r="AX122" s="41">
        <f t="shared" si="117"/>
        <v>0</v>
      </c>
      <c r="AY122" s="44" t="s">
        <v>406</v>
      </c>
      <c r="AZ122" s="44" t="s">
        <v>415</v>
      </c>
      <c r="BA122" s="31" t="s">
        <v>416</v>
      </c>
      <c r="BC122" s="41">
        <f t="shared" si="118"/>
        <v>0</v>
      </c>
      <c r="BD122" s="41">
        <f t="shared" si="119"/>
        <v>0</v>
      </c>
      <c r="BE122" s="41">
        <v>0</v>
      </c>
      <c r="BF122" s="41">
        <f t="shared" si="120"/>
        <v>0.0009</v>
      </c>
      <c r="BH122" s="22">
        <f t="shared" si="121"/>
        <v>0</v>
      </c>
      <c r="BI122" s="22">
        <f t="shared" si="122"/>
        <v>0</v>
      </c>
      <c r="BJ122" s="22">
        <f t="shared" si="123"/>
        <v>0</v>
      </c>
      <c r="BK122" s="22" t="s">
        <v>422</v>
      </c>
      <c r="BL122" s="41"/>
    </row>
    <row r="123" spans="1:64" ht="12.75">
      <c r="A123" s="6" t="s">
        <v>94</v>
      </c>
      <c r="B123" s="15"/>
      <c r="C123" s="15" t="s">
        <v>208</v>
      </c>
      <c r="D123" s="141" t="s">
        <v>331</v>
      </c>
      <c r="E123" s="142"/>
      <c r="F123" s="15" t="s">
        <v>344</v>
      </c>
      <c r="G123" s="22">
        <v>1</v>
      </c>
      <c r="H123" s="22">
        <v>0</v>
      </c>
      <c r="I123" s="22">
        <f t="shared" si="98"/>
        <v>0</v>
      </c>
      <c r="J123" s="22">
        <f t="shared" si="99"/>
        <v>0</v>
      </c>
      <c r="K123" s="22">
        <f t="shared" si="100"/>
        <v>0</v>
      </c>
      <c r="L123" s="22">
        <v>0.0152</v>
      </c>
      <c r="M123" s="22">
        <f t="shared" si="101"/>
        <v>0.0152</v>
      </c>
      <c r="N123" s="37" t="s">
        <v>372</v>
      </c>
      <c r="O123" s="39"/>
      <c r="Z123" s="41">
        <f t="shared" si="102"/>
        <v>0</v>
      </c>
      <c r="AB123" s="41">
        <f t="shared" si="103"/>
        <v>0</v>
      </c>
      <c r="AC123" s="41">
        <f t="shared" si="104"/>
        <v>0</v>
      </c>
      <c r="AD123" s="41">
        <f t="shared" si="105"/>
        <v>0</v>
      </c>
      <c r="AE123" s="41">
        <f t="shared" si="106"/>
        <v>0</v>
      </c>
      <c r="AF123" s="41">
        <f t="shared" si="107"/>
        <v>0</v>
      </c>
      <c r="AG123" s="41">
        <f t="shared" si="108"/>
        <v>0</v>
      </c>
      <c r="AH123" s="41">
        <f t="shared" si="109"/>
        <v>0</v>
      </c>
      <c r="AI123" s="31"/>
      <c r="AJ123" s="22">
        <f t="shared" si="110"/>
        <v>0</v>
      </c>
      <c r="AK123" s="22">
        <f t="shared" si="111"/>
        <v>0</v>
      </c>
      <c r="AL123" s="22">
        <f t="shared" si="112"/>
        <v>0</v>
      </c>
      <c r="AN123" s="41">
        <v>15</v>
      </c>
      <c r="AO123" s="41">
        <f t="shared" si="113"/>
        <v>0</v>
      </c>
      <c r="AP123" s="41">
        <f t="shared" si="114"/>
        <v>0</v>
      </c>
      <c r="AQ123" s="43" t="s">
        <v>383</v>
      </c>
      <c r="AV123" s="41">
        <f t="shared" si="115"/>
        <v>0</v>
      </c>
      <c r="AW123" s="41">
        <f t="shared" si="116"/>
        <v>0</v>
      </c>
      <c r="AX123" s="41">
        <f t="shared" si="117"/>
        <v>0</v>
      </c>
      <c r="AY123" s="44" t="s">
        <v>406</v>
      </c>
      <c r="AZ123" s="44" t="s">
        <v>415</v>
      </c>
      <c r="BA123" s="31" t="s">
        <v>416</v>
      </c>
      <c r="BC123" s="41">
        <f t="shared" si="118"/>
        <v>0</v>
      </c>
      <c r="BD123" s="41">
        <f t="shared" si="119"/>
        <v>0</v>
      </c>
      <c r="BE123" s="41">
        <v>0</v>
      </c>
      <c r="BF123" s="41">
        <f t="shared" si="120"/>
        <v>0.0152</v>
      </c>
      <c r="BH123" s="22">
        <f t="shared" si="121"/>
        <v>0</v>
      </c>
      <c r="BI123" s="22">
        <f t="shared" si="122"/>
        <v>0</v>
      </c>
      <c r="BJ123" s="22">
        <f t="shared" si="123"/>
        <v>0</v>
      </c>
      <c r="BK123" s="22" t="s">
        <v>422</v>
      </c>
      <c r="BL123" s="41"/>
    </row>
    <row r="124" spans="1:64" ht="12.75">
      <c r="A124" s="6" t="s">
        <v>95</v>
      </c>
      <c r="B124" s="15"/>
      <c r="C124" s="15" t="s">
        <v>209</v>
      </c>
      <c r="D124" s="141" t="s">
        <v>332</v>
      </c>
      <c r="E124" s="142"/>
      <c r="F124" s="15" t="s">
        <v>344</v>
      </c>
      <c r="G124" s="22">
        <v>20</v>
      </c>
      <c r="H124" s="22">
        <v>0</v>
      </c>
      <c r="I124" s="22">
        <f t="shared" si="98"/>
        <v>0</v>
      </c>
      <c r="J124" s="22">
        <f t="shared" si="99"/>
        <v>0</v>
      </c>
      <c r="K124" s="22">
        <f t="shared" si="100"/>
        <v>0</v>
      </c>
      <c r="L124" s="22">
        <v>0</v>
      </c>
      <c r="M124" s="22">
        <f t="shared" si="101"/>
        <v>0</v>
      </c>
      <c r="N124" s="37" t="s">
        <v>372</v>
      </c>
      <c r="O124" s="39"/>
      <c r="Z124" s="41">
        <f t="shared" si="102"/>
        <v>0</v>
      </c>
      <c r="AB124" s="41">
        <f t="shared" si="103"/>
        <v>0</v>
      </c>
      <c r="AC124" s="41">
        <f t="shared" si="104"/>
        <v>0</v>
      </c>
      <c r="AD124" s="41">
        <f t="shared" si="105"/>
        <v>0</v>
      </c>
      <c r="AE124" s="41">
        <f t="shared" si="106"/>
        <v>0</v>
      </c>
      <c r="AF124" s="41">
        <f t="shared" si="107"/>
        <v>0</v>
      </c>
      <c r="AG124" s="41">
        <f t="shared" si="108"/>
        <v>0</v>
      </c>
      <c r="AH124" s="41">
        <f t="shared" si="109"/>
        <v>0</v>
      </c>
      <c r="AI124" s="31"/>
      <c r="AJ124" s="22">
        <f t="shared" si="110"/>
        <v>0</v>
      </c>
      <c r="AK124" s="22">
        <f t="shared" si="111"/>
        <v>0</v>
      </c>
      <c r="AL124" s="22">
        <f t="shared" si="112"/>
        <v>0</v>
      </c>
      <c r="AN124" s="41">
        <v>15</v>
      </c>
      <c r="AO124" s="41">
        <f t="shared" si="113"/>
        <v>0</v>
      </c>
      <c r="AP124" s="41">
        <f t="shared" si="114"/>
        <v>0</v>
      </c>
      <c r="AQ124" s="43" t="s">
        <v>383</v>
      </c>
      <c r="AV124" s="41">
        <f t="shared" si="115"/>
        <v>0</v>
      </c>
      <c r="AW124" s="41">
        <f t="shared" si="116"/>
        <v>0</v>
      </c>
      <c r="AX124" s="41">
        <f t="shared" si="117"/>
        <v>0</v>
      </c>
      <c r="AY124" s="44" t="s">
        <v>406</v>
      </c>
      <c r="AZ124" s="44" t="s">
        <v>415</v>
      </c>
      <c r="BA124" s="31" t="s">
        <v>416</v>
      </c>
      <c r="BC124" s="41">
        <f t="shared" si="118"/>
        <v>0</v>
      </c>
      <c r="BD124" s="41">
        <f t="shared" si="119"/>
        <v>0</v>
      </c>
      <c r="BE124" s="41">
        <v>0</v>
      </c>
      <c r="BF124" s="41">
        <f t="shared" si="120"/>
        <v>0</v>
      </c>
      <c r="BH124" s="22">
        <f t="shared" si="121"/>
        <v>0</v>
      </c>
      <c r="BI124" s="22">
        <f t="shared" si="122"/>
        <v>0</v>
      </c>
      <c r="BJ124" s="22">
        <f t="shared" si="123"/>
        <v>0</v>
      </c>
      <c r="BK124" s="22" t="s">
        <v>422</v>
      </c>
      <c r="BL124" s="41"/>
    </row>
    <row r="125" spans="1:64" ht="12.75">
      <c r="A125" s="6" t="s">
        <v>96</v>
      </c>
      <c r="B125" s="15"/>
      <c r="C125" s="15" t="s">
        <v>210</v>
      </c>
      <c r="D125" s="141" t="s">
        <v>333</v>
      </c>
      <c r="E125" s="142"/>
      <c r="F125" s="15" t="s">
        <v>344</v>
      </c>
      <c r="G125" s="22">
        <v>10</v>
      </c>
      <c r="H125" s="22">
        <v>0</v>
      </c>
      <c r="I125" s="22">
        <f t="shared" si="98"/>
        <v>0</v>
      </c>
      <c r="J125" s="22">
        <f t="shared" si="99"/>
        <v>0</v>
      </c>
      <c r="K125" s="22">
        <f t="shared" si="100"/>
        <v>0</v>
      </c>
      <c r="L125" s="22">
        <v>0.0046</v>
      </c>
      <c r="M125" s="22">
        <f t="shared" si="101"/>
        <v>0.046</v>
      </c>
      <c r="N125" s="37" t="s">
        <v>372</v>
      </c>
      <c r="O125" s="39"/>
      <c r="Z125" s="41">
        <f t="shared" si="102"/>
        <v>0</v>
      </c>
      <c r="AB125" s="41">
        <f t="shared" si="103"/>
        <v>0</v>
      </c>
      <c r="AC125" s="41">
        <f t="shared" si="104"/>
        <v>0</v>
      </c>
      <c r="AD125" s="41">
        <f t="shared" si="105"/>
        <v>0</v>
      </c>
      <c r="AE125" s="41">
        <f t="shared" si="106"/>
        <v>0</v>
      </c>
      <c r="AF125" s="41">
        <f t="shared" si="107"/>
        <v>0</v>
      </c>
      <c r="AG125" s="41">
        <f t="shared" si="108"/>
        <v>0</v>
      </c>
      <c r="AH125" s="41">
        <f t="shared" si="109"/>
        <v>0</v>
      </c>
      <c r="AI125" s="31"/>
      <c r="AJ125" s="22">
        <f t="shared" si="110"/>
        <v>0</v>
      </c>
      <c r="AK125" s="22">
        <f t="shared" si="111"/>
        <v>0</v>
      </c>
      <c r="AL125" s="22">
        <f t="shared" si="112"/>
        <v>0</v>
      </c>
      <c r="AN125" s="41">
        <v>15</v>
      </c>
      <c r="AO125" s="41">
        <f t="shared" si="113"/>
        <v>0</v>
      </c>
      <c r="AP125" s="41">
        <f t="shared" si="114"/>
        <v>0</v>
      </c>
      <c r="AQ125" s="43" t="s">
        <v>383</v>
      </c>
      <c r="AV125" s="41">
        <f t="shared" si="115"/>
        <v>0</v>
      </c>
      <c r="AW125" s="41">
        <f t="shared" si="116"/>
        <v>0</v>
      </c>
      <c r="AX125" s="41">
        <f t="shared" si="117"/>
        <v>0</v>
      </c>
      <c r="AY125" s="44" t="s">
        <v>406</v>
      </c>
      <c r="AZ125" s="44" t="s">
        <v>415</v>
      </c>
      <c r="BA125" s="31" t="s">
        <v>416</v>
      </c>
      <c r="BC125" s="41">
        <f t="shared" si="118"/>
        <v>0</v>
      </c>
      <c r="BD125" s="41">
        <f t="shared" si="119"/>
        <v>0</v>
      </c>
      <c r="BE125" s="41">
        <v>0</v>
      </c>
      <c r="BF125" s="41">
        <f t="shared" si="120"/>
        <v>0.046</v>
      </c>
      <c r="BH125" s="22">
        <f t="shared" si="121"/>
        <v>0</v>
      </c>
      <c r="BI125" s="22">
        <f t="shared" si="122"/>
        <v>0</v>
      </c>
      <c r="BJ125" s="22">
        <f t="shared" si="123"/>
        <v>0</v>
      </c>
      <c r="BK125" s="22" t="s">
        <v>422</v>
      </c>
      <c r="BL125" s="41"/>
    </row>
    <row r="126" spans="1:64" ht="12.75">
      <c r="A126" s="6" t="s">
        <v>97</v>
      </c>
      <c r="B126" s="15"/>
      <c r="C126" s="15" t="s">
        <v>211</v>
      </c>
      <c r="D126" s="141" t="s">
        <v>334</v>
      </c>
      <c r="E126" s="142"/>
      <c r="F126" s="15" t="s">
        <v>344</v>
      </c>
      <c r="G126" s="22">
        <v>1</v>
      </c>
      <c r="H126" s="22">
        <v>0</v>
      </c>
      <c r="I126" s="22">
        <f t="shared" si="98"/>
        <v>0</v>
      </c>
      <c r="J126" s="22">
        <f t="shared" si="99"/>
        <v>0</v>
      </c>
      <c r="K126" s="22">
        <f t="shared" si="100"/>
        <v>0</v>
      </c>
      <c r="L126" s="22">
        <v>0.001</v>
      </c>
      <c r="M126" s="22">
        <f t="shared" si="101"/>
        <v>0.001</v>
      </c>
      <c r="N126" s="37" t="s">
        <v>372</v>
      </c>
      <c r="O126" s="39"/>
      <c r="Z126" s="41">
        <f t="shared" si="102"/>
        <v>0</v>
      </c>
      <c r="AB126" s="41">
        <f t="shared" si="103"/>
        <v>0</v>
      </c>
      <c r="AC126" s="41">
        <f t="shared" si="104"/>
        <v>0</v>
      </c>
      <c r="AD126" s="41">
        <f t="shared" si="105"/>
        <v>0</v>
      </c>
      <c r="AE126" s="41">
        <f t="shared" si="106"/>
        <v>0</v>
      </c>
      <c r="AF126" s="41">
        <f t="shared" si="107"/>
        <v>0</v>
      </c>
      <c r="AG126" s="41">
        <f t="shared" si="108"/>
        <v>0</v>
      </c>
      <c r="AH126" s="41">
        <f t="shared" si="109"/>
        <v>0</v>
      </c>
      <c r="AI126" s="31"/>
      <c r="AJ126" s="22">
        <f t="shared" si="110"/>
        <v>0</v>
      </c>
      <c r="AK126" s="22">
        <f t="shared" si="111"/>
        <v>0</v>
      </c>
      <c r="AL126" s="22">
        <f t="shared" si="112"/>
        <v>0</v>
      </c>
      <c r="AN126" s="41">
        <v>15</v>
      </c>
      <c r="AO126" s="41">
        <f t="shared" si="113"/>
        <v>0</v>
      </c>
      <c r="AP126" s="41">
        <f t="shared" si="114"/>
        <v>0</v>
      </c>
      <c r="AQ126" s="43" t="s">
        <v>383</v>
      </c>
      <c r="AV126" s="41">
        <f t="shared" si="115"/>
        <v>0</v>
      </c>
      <c r="AW126" s="41">
        <f t="shared" si="116"/>
        <v>0</v>
      </c>
      <c r="AX126" s="41">
        <f t="shared" si="117"/>
        <v>0</v>
      </c>
      <c r="AY126" s="44" t="s">
        <v>406</v>
      </c>
      <c r="AZ126" s="44" t="s">
        <v>415</v>
      </c>
      <c r="BA126" s="31" t="s">
        <v>416</v>
      </c>
      <c r="BC126" s="41">
        <f t="shared" si="118"/>
        <v>0</v>
      </c>
      <c r="BD126" s="41">
        <f t="shared" si="119"/>
        <v>0</v>
      </c>
      <c r="BE126" s="41">
        <v>0</v>
      </c>
      <c r="BF126" s="41">
        <f t="shared" si="120"/>
        <v>0.001</v>
      </c>
      <c r="BH126" s="22">
        <f t="shared" si="121"/>
        <v>0</v>
      </c>
      <c r="BI126" s="22">
        <f t="shared" si="122"/>
        <v>0</v>
      </c>
      <c r="BJ126" s="22">
        <f t="shared" si="123"/>
        <v>0</v>
      </c>
      <c r="BK126" s="22" t="s">
        <v>422</v>
      </c>
      <c r="BL126" s="41"/>
    </row>
    <row r="127" spans="1:64" ht="12.75">
      <c r="A127" s="6" t="s">
        <v>98</v>
      </c>
      <c r="B127" s="15"/>
      <c r="C127" s="15" t="s">
        <v>212</v>
      </c>
      <c r="D127" s="141" t="s">
        <v>335</v>
      </c>
      <c r="E127" s="142"/>
      <c r="F127" s="15" t="s">
        <v>344</v>
      </c>
      <c r="G127" s="22">
        <v>12</v>
      </c>
      <c r="H127" s="22">
        <v>0</v>
      </c>
      <c r="I127" s="22">
        <f t="shared" si="98"/>
        <v>0</v>
      </c>
      <c r="J127" s="22">
        <f t="shared" si="99"/>
        <v>0</v>
      </c>
      <c r="K127" s="22">
        <f t="shared" si="100"/>
        <v>0</v>
      </c>
      <c r="L127" s="22">
        <v>1E-05</v>
      </c>
      <c r="M127" s="22">
        <f t="shared" si="101"/>
        <v>0.00012000000000000002</v>
      </c>
      <c r="N127" s="37" t="s">
        <v>372</v>
      </c>
      <c r="O127" s="39"/>
      <c r="Z127" s="41">
        <f t="shared" si="102"/>
        <v>0</v>
      </c>
      <c r="AB127" s="41">
        <f t="shared" si="103"/>
        <v>0</v>
      </c>
      <c r="AC127" s="41">
        <f t="shared" si="104"/>
        <v>0</v>
      </c>
      <c r="AD127" s="41">
        <f t="shared" si="105"/>
        <v>0</v>
      </c>
      <c r="AE127" s="41">
        <f t="shared" si="106"/>
        <v>0</v>
      </c>
      <c r="AF127" s="41">
        <f t="shared" si="107"/>
        <v>0</v>
      </c>
      <c r="AG127" s="41">
        <f t="shared" si="108"/>
        <v>0</v>
      </c>
      <c r="AH127" s="41">
        <f t="shared" si="109"/>
        <v>0</v>
      </c>
      <c r="AI127" s="31"/>
      <c r="AJ127" s="22">
        <f t="shared" si="110"/>
        <v>0</v>
      </c>
      <c r="AK127" s="22">
        <f t="shared" si="111"/>
        <v>0</v>
      </c>
      <c r="AL127" s="22">
        <f t="shared" si="112"/>
        <v>0</v>
      </c>
      <c r="AN127" s="41">
        <v>15</v>
      </c>
      <c r="AO127" s="41">
        <f t="shared" si="113"/>
        <v>0</v>
      </c>
      <c r="AP127" s="41">
        <f t="shared" si="114"/>
        <v>0</v>
      </c>
      <c r="AQ127" s="43" t="s">
        <v>383</v>
      </c>
      <c r="AV127" s="41">
        <f t="shared" si="115"/>
        <v>0</v>
      </c>
      <c r="AW127" s="41">
        <f t="shared" si="116"/>
        <v>0</v>
      </c>
      <c r="AX127" s="41">
        <f t="shared" si="117"/>
        <v>0</v>
      </c>
      <c r="AY127" s="44" t="s">
        <v>406</v>
      </c>
      <c r="AZ127" s="44" t="s">
        <v>415</v>
      </c>
      <c r="BA127" s="31" t="s">
        <v>416</v>
      </c>
      <c r="BC127" s="41">
        <f t="shared" si="118"/>
        <v>0</v>
      </c>
      <c r="BD127" s="41">
        <f t="shared" si="119"/>
        <v>0</v>
      </c>
      <c r="BE127" s="41">
        <v>0</v>
      </c>
      <c r="BF127" s="41">
        <f t="shared" si="120"/>
        <v>0.00012000000000000002</v>
      </c>
      <c r="BH127" s="22">
        <f t="shared" si="121"/>
        <v>0</v>
      </c>
      <c r="BI127" s="22">
        <f t="shared" si="122"/>
        <v>0</v>
      </c>
      <c r="BJ127" s="22">
        <f t="shared" si="123"/>
        <v>0</v>
      </c>
      <c r="BK127" s="22" t="s">
        <v>422</v>
      </c>
      <c r="BL127" s="41"/>
    </row>
    <row r="128" spans="1:64" ht="12.75">
      <c r="A128" s="6" t="s">
        <v>99</v>
      </c>
      <c r="B128" s="15"/>
      <c r="C128" s="15" t="s">
        <v>213</v>
      </c>
      <c r="D128" s="141" t="s">
        <v>336</v>
      </c>
      <c r="E128" s="142"/>
      <c r="F128" s="15" t="s">
        <v>344</v>
      </c>
      <c r="G128" s="22">
        <v>9</v>
      </c>
      <c r="H128" s="22">
        <v>0</v>
      </c>
      <c r="I128" s="22">
        <f t="shared" si="98"/>
        <v>0</v>
      </c>
      <c r="J128" s="22">
        <f t="shared" si="99"/>
        <v>0</v>
      </c>
      <c r="K128" s="22">
        <f t="shared" si="100"/>
        <v>0</v>
      </c>
      <c r="L128" s="22">
        <v>5E-05</v>
      </c>
      <c r="M128" s="22">
        <f t="shared" si="101"/>
        <v>0.00045000000000000004</v>
      </c>
      <c r="N128" s="37" t="s">
        <v>372</v>
      </c>
      <c r="O128" s="39"/>
      <c r="Z128" s="41">
        <f t="shared" si="102"/>
        <v>0</v>
      </c>
      <c r="AB128" s="41">
        <f t="shared" si="103"/>
        <v>0</v>
      </c>
      <c r="AC128" s="41">
        <f t="shared" si="104"/>
        <v>0</v>
      </c>
      <c r="AD128" s="41">
        <f t="shared" si="105"/>
        <v>0</v>
      </c>
      <c r="AE128" s="41">
        <f t="shared" si="106"/>
        <v>0</v>
      </c>
      <c r="AF128" s="41">
        <f t="shared" si="107"/>
        <v>0</v>
      </c>
      <c r="AG128" s="41">
        <f t="shared" si="108"/>
        <v>0</v>
      </c>
      <c r="AH128" s="41">
        <f t="shared" si="109"/>
        <v>0</v>
      </c>
      <c r="AI128" s="31"/>
      <c r="AJ128" s="22">
        <f t="shared" si="110"/>
        <v>0</v>
      </c>
      <c r="AK128" s="22">
        <f t="shared" si="111"/>
        <v>0</v>
      </c>
      <c r="AL128" s="22">
        <f t="shared" si="112"/>
        <v>0</v>
      </c>
      <c r="AN128" s="41">
        <v>15</v>
      </c>
      <c r="AO128" s="41">
        <f t="shared" si="113"/>
        <v>0</v>
      </c>
      <c r="AP128" s="41">
        <f t="shared" si="114"/>
        <v>0</v>
      </c>
      <c r="AQ128" s="43" t="s">
        <v>383</v>
      </c>
      <c r="AV128" s="41">
        <f t="shared" si="115"/>
        <v>0</v>
      </c>
      <c r="AW128" s="41">
        <f t="shared" si="116"/>
        <v>0</v>
      </c>
      <c r="AX128" s="41">
        <f t="shared" si="117"/>
        <v>0</v>
      </c>
      <c r="AY128" s="44" t="s">
        <v>406</v>
      </c>
      <c r="AZ128" s="44" t="s">
        <v>415</v>
      </c>
      <c r="BA128" s="31" t="s">
        <v>416</v>
      </c>
      <c r="BC128" s="41">
        <f t="shared" si="118"/>
        <v>0</v>
      </c>
      <c r="BD128" s="41">
        <f t="shared" si="119"/>
        <v>0</v>
      </c>
      <c r="BE128" s="41">
        <v>0</v>
      </c>
      <c r="BF128" s="41">
        <f t="shared" si="120"/>
        <v>0.00045000000000000004</v>
      </c>
      <c r="BH128" s="22">
        <f t="shared" si="121"/>
        <v>0</v>
      </c>
      <c r="BI128" s="22">
        <f t="shared" si="122"/>
        <v>0</v>
      </c>
      <c r="BJ128" s="22">
        <f t="shared" si="123"/>
        <v>0</v>
      </c>
      <c r="BK128" s="22" t="s">
        <v>422</v>
      </c>
      <c r="BL128" s="41"/>
    </row>
    <row r="129" spans="1:64" ht="12.75">
      <c r="A129" s="6" t="s">
        <v>100</v>
      </c>
      <c r="B129" s="15"/>
      <c r="C129" s="15" t="s">
        <v>214</v>
      </c>
      <c r="D129" s="141" t="s">
        <v>337</v>
      </c>
      <c r="E129" s="142"/>
      <c r="F129" s="15" t="s">
        <v>344</v>
      </c>
      <c r="G129" s="22">
        <v>9</v>
      </c>
      <c r="H129" s="22">
        <v>0</v>
      </c>
      <c r="I129" s="22">
        <f t="shared" si="98"/>
        <v>0</v>
      </c>
      <c r="J129" s="22">
        <f t="shared" si="99"/>
        <v>0</v>
      </c>
      <c r="K129" s="22">
        <f t="shared" si="100"/>
        <v>0</v>
      </c>
      <c r="L129" s="22">
        <v>1E-05</v>
      </c>
      <c r="M129" s="22">
        <f t="shared" si="101"/>
        <v>9E-05</v>
      </c>
      <c r="N129" s="37" t="s">
        <v>372</v>
      </c>
      <c r="O129" s="39"/>
      <c r="Z129" s="41">
        <f t="shared" si="102"/>
        <v>0</v>
      </c>
      <c r="AB129" s="41">
        <f t="shared" si="103"/>
        <v>0</v>
      </c>
      <c r="AC129" s="41">
        <f t="shared" si="104"/>
        <v>0</v>
      </c>
      <c r="AD129" s="41">
        <f t="shared" si="105"/>
        <v>0</v>
      </c>
      <c r="AE129" s="41">
        <f t="shared" si="106"/>
        <v>0</v>
      </c>
      <c r="AF129" s="41">
        <f t="shared" si="107"/>
        <v>0</v>
      </c>
      <c r="AG129" s="41">
        <f t="shared" si="108"/>
        <v>0</v>
      </c>
      <c r="AH129" s="41">
        <f t="shared" si="109"/>
        <v>0</v>
      </c>
      <c r="AI129" s="31"/>
      <c r="AJ129" s="22">
        <f t="shared" si="110"/>
        <v>0</v>
      </c>
      <c r="AK129" s="22">
        <f t="shared" si="111"/>
        <v>0</v>
      </c>
      <c r="AL129" s="22">
        <f t="shared" si="112"/>
        <v>0</v>
      </c>
      <c r="AN129" s="41">
        <v>15</v>
      </c>
      <c r="AO129" s="41">
        <f t="shared" si="113"/>
        <v>0</v>
      </c>
      <c r="AP129" s="41">
        <f t="shared" si="114"/>
        <v>0</v>
      </c>
      <c r="AQ129" s="43" t="s">
        <v>383</v>
      </c>
      <c r="AV129" s="41">
        <f t="shared" si="115"/>
        <v>0</v>
      </c>
      <c r="AW129" s="41">
        <f t="shared" si="116"/>
        <v>0</v>
      </c>
      <c r="AX129" s="41">
        <f t="shared" si="117"/>
        <v>0</v>
      </c>
      <c r="AY129" s="44" t="s">
        <v>406</v>
      </c>
      <c r="AZ129" s="44" t="s">
        <v>415</v>
      </c>
      <c r="BA129" s="31" t="s">
        <v>416</v>
      </c>
      <c r="BC129" s="41">
        <f t="shared" si="118"/>
        <v>0</v>
      </c>
      <c r="BD129" s="41">
        <f t="shared" si="119"/>
        <v>0</v>
      </c>
      <c r="BE129" s="41">
        <v>0</v>
      </c>
      <c r="BF129" s="41">
        <f t="shared" si="120"/>
        <v>9E-05</v>
      </c>
      <c r="BH129" s="22">
        <f t="shared" si="121"/>
        <v>0</v>
      </c>
      <c r="BI129" s="22">
        <f t="shared" si="122"/>
        <v>0</v>
      </c>
      <c r="BJ129" s="22">
        <f t="shared" si="123"/>
        <v>0</v>
      </c>
      <c r="BK129" s="22" t="s">
        <v>422</v>
      </c>
      <c r="BL129" s="41"/>
    </row>
    <row r="130" spans="1:64" ht="12.75">
      <c r="A130" s="7" t="s">
        <v>101</v>
      </c>
      <c r="B130" s="16"/>
      <c r="C130" s="16" t="s">
        <v>215</v>
      </c>
      <c r="D130" s="143" t="s">
        <v>338</v>
      </c>
      <c r="E130" s="144"/>
      <c r="F130" s="16" t="s">
        <v>344</v>
      </c>
      <c r="G130" s="23">
        <v>12</v>
      </c>
      <c r="H130" s="23">
        <v>0</v>
      </c>
      <c r="I130" s="23">
        <f t="shared" si="98"/>
        <v>0</v>
      </c>
      <c r="J130" s="23">
        <f t="shared" si="99"/>
        <v>0</v>
      </c>
      <c r="K130" s="23">
        <f t="shared" si="100"/>
        <v>0</v>
      </c>
      <c r="L130" s="23">
        <v>0.0001</v>
      </c>
      <c r="M130" s="23">
        <f t="shared" si="101"/>
        <v>0.0012000000000000001</v>
      </c>
      <c r="N130" s="38" t="s">
        <v>372</v>
      </c>
      <c r="O130" s="39"/>
      <c r="Z130" s="41">
        <f t="shared" si="102"/>
        <v>0</v>
      </c>
      <c r="AB130" s="41">
        <f t="shared" si="103"/>
        <v>0</v>
      </c>
      <c r="AC130" s="41">
        <f t="shared" si="104"/>
        <v>0</v>
      </c>
      <c r="AD130" s="41">
        <f t="shared" si="105"/>
        <v>0</v>
      </c>
      <c r="AE130" s="41">
        <f t="shared" si="106"/>
        <v>0</v>
      </c>
      <c r="AF130" s="41">
        <f t="shared" si="107"/>
        <v>0</v>
      </c>
      <c r="AG130" s="41">
        <f t="shared" si="108"/>
        <v>0</v>
      </c>
      <c r="AH130" s="41">
        <f t="shared" si="109"/>
        <v>0</v>
      </c>
      <c r="AI130" s="31"/>
      <c r="AJ130" s="22">
        <f t="shared" si="110"/>
        <v>0</v>
      </c>
      <c r="AK130" s="22">
        <f t="shared" si="111"/>
        <v>0</v>
      </c>
      <c r="AL130" s="22">
        <f t="shared" si="112"/>
        <v>0</v>
      </c>
      <c r="AN130" s="41">
        <v>15</v>
      </c>
      <c r="AO130" s="41">
        <f t="shared" si="113"/>
        <v>0</v>
      </c>
      <c r="AP130" s="41">
        <f t="shared" si="114"/>
        <v>0</v>
      </c>
      <c r="AQ130" s="43" t="s">
        <v>383</v>
      </c>
      <c r="AV130" s="41">
        <f t="shared" si="115"/>
        <v>0</v>
      </c>
      <c r="AW130" s="41">
        <f t="shared" si="116"/>
        <v>0</v>
      </c>
      <c r="AX130" s="41">
        <f t="shared" si="117"/>
        <v>0</v>
      </c>
      <c r="AY130" s="44" t="s">
        <v>406</v>
      </c>
      <c r="AZ130" s="44" t="s">
        <v>415</v>
      </c>
      <c r="BA130" s="31" t="s">
        <v>416</v>
      </c>
      <c r="BC130" s="41">
        <f t="shared" si="118"/>
        <v>0</v>
      </c>
      <c r="BD130" s="41">
        <f t="shared" si="119"/>
        <v>0</v>
      </c>
      <c r="BE130" s="41">
        <v>0</v>
      </c>
      <c r="BF130" s="41">
        <f t="shared" si="120"/>
        <v>0.0012000000000000001</v>
      </c>
      <c r="BH130" s="22">
        <f t="shared" si="121"/>
        <v>0</v>
      </c>
      <c r="BI130" s="22">
        <f t="shared" si="122"/>
        <v>0</v>
      </c>
      <c r="BJ130" s="22">
        <f t="shared" si="123"/>
        <v>0</v>
      </c>
      <c r="BK130" s="22" t="s">
        <v>422</v>
      </c>
      <c r="BL130" s="41"/>
    </row>
    <row r="131" spans="1:14" ht="12.75">
      <c r="A131" s="8"/>
      <c r="B131" s="8"/>
      <c r="C131" s="8"/>
      <c r="D131" s="8"/>
      <c r="E131" s="8"/>
      <c r="F131" s="8"/>
      <c r="G131" s="8"/>
      <c r="H131" s="8"/>
      <c r="I131" s="145" t="s">
        <v>363</v>
      </c>
      <c r="J131" s="116"/>
      <c r="K131" s="48">
        <f>K12+K16+K20+K23+K28+K30+K39+K50+K59+K61+K67+K69+K71+K74+K76+K80+K84+K89+K91+K93+K96+K98+K107</f>
        <v>0</v>
      </c>
      <c r="L131" s="8"/>
      <c r="M131" s="8"/>
      <c r="N131" s="8"/>
    </row>
    <row r="132" ht="11.25" customHeight="1">
      <c r="A132" s="9" t="s">
        <v>102</v>
      </c>
    </row>
    <row r="133" spans="1:14" ht="12.75">
      <c r="A133" s="123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</sheetData>
  <sheetProtection/>
  <mergeCells count="150">
    <mergeCell ref="D128:E128"/>
    <mergeCell ref="D129:E129"/>
    <mergeCell ref="D130:E130"/>
    <mergeCell ref="I131:J131"/>
    <mergeCell ref="A133:N133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109" t="s">
        <v>424</v>
      </c>
      <c r="B1" s="110"/>
      <c r="C1" s="110"/>
      <c r="D1" s="110"/>
      <c r="E1" s="110"/>
      <c r="F1" s="110"/>
      <c r="G1" s="110"/>
    </row>
    <row r="2" spans="1:8" ht="12.75">
      <c r="A2" s="111" t="s">
        <v>0</v>
      </c>
      <c r="B2" s="112"/>
      <c r="C2" s="115" t="str">
        <f>'Stavební rozpočet'!D2</f>
        <v>OPRAVA SESTEREN A KLUBOVEN</v>
      </c>
      <c r="D2" s="118" t="s">
        <v>339</v>
      </c>
      <c r="E2" s="118" t="s">
        <v>351</v>
      </c>
      <c r="F2" s="119" t="s">
        <v>357</v>
      </c>
      <c r="G2" s="146" t="str">
        <f>'Stavební rozpočet'!J2</f>
        <v> </v>
      </c>
      <c r="H2" s="39"/>
    </row>
    <row r="3" spans="1:8" ht="12.75">
      <c r="A3" s="113"/>
      <c r="B3" s="114"/>
      <c r="C3" s="117"/>
      <c r="D3" s="114"/>
      <c r="E3" s="114"/>
      <c r="F3" s="114"/>
      <c r="G3" s="121"/>
      <c r="H3" s="39"/>
    </row>
    <row r="4" spans="1:8" ht="12.75">
      <c r="A4" s="122" t="s">
        <v>1</v>
      </c>
      <c r="B4" s="114"/>
      <c r="C4" s="123" t="str">
        <f>'Stavební rozpočet'!D4</f>
        <v>Objekt DS 1, III.N.p. - sesterna</v>
      </c>
      <c r="D4" s="124" t="s">
        <v>340</v>
      </c>
      <c r="E4" s="124" t="s">
        <v>352</v>
      </c>
      <c r="F4" s="123" t="s">
        <v>358</v>
      </c>
      <c r="G4" s="147" t="str">
        <f>'Stavební rozpočet'!J4</f>
        <v> </v>
      </c>
      <c r="H4" s="39"/>
    </row>
    <row r="5" spans="1:8" ht="12.75">
      <c r="A5" s="113"/>
      <c r="B5" s="114"/>
      <c r="C5" s="114"/>
      <c r="D5" s="114"/>
      <c r="E5" s="114"/>
      <c r="F5" s="114"/>
      <c r="G5" s="121"/>
      <c r="H5" s="39"/>
    </row>
    <row r="6" spans="1:8" ht="12.75">
      <c r="A6" s="122" t="s">
        <v>2</v>
      </c>
      <c r="B6" s="114"/>
      <c r="C6" s="123" t="str">
        <f>'Stavební rozpočet'!D6</f>
        <v>Domov Sedlčany, poskytovatel sociálních služeb</v>
      </c>
      <c r="D6" s="124" t="s">
        <v>341</v>
      </c>
      <c r="E6" s="124" t="s">
        <v>353</v>
      </c>
      <c r="F6" s="123" t="s">
        <v>359</v>
      </c>
      <c r="G6" s="147" t="str">
        <f>'Stavební rozpočet'!J6</f>
        <v> </v>
      </c>
      <c r="H6" s="39"/>
    </row>
    <row r="7" spans="1:8" ht="12.75">
      <c r="A7" s="113"/>
      <c r="B7" s="114"/>
      <c r="C7" s="114"/>
      <c r="D7" s="114"/>
      <c r="E7" s="114"/>
      <c r="F7" s="114"/>
      <c r="G7" s="121"/>
      <c r="H7" s="39"/>
    </row>
    <row r="8" spans="1:8" ht="12.75">
      <c r="A8" s="122" t="s">
        <v>360</v>
      </c>
      <c r="B8" s="114"/>
      <c r="C8" s="123" t="str">
        <f>'Stavební rozpočet'!J8</f>
        <v>Mgr. Josef Šimonvský</v>
      </c>
      <c r="D8" s="124" t="s">
        <v>342</v>
      </c>
      <c r="E8" s="124" t="s">
        <v>354</v>
      </c>
      <c r="F8" s="124" t="s">
        <v>342</v>
      </c>
      <c r="G8" s="147" t="str">
        <f>'Stavební rozpočet'!H8</f>
        <v>31.10.2021</v>
      </c>
      <c r="H8" s="39"/>
    </row>
    <row r="9" spans="1:8" ht="12.75">
      <c r="A9" s="125"/>
      <c r="B9" s="126"/>
      <c r="C9" s="126"/>
      <c r="D9" s="126"/>
      <c r="E9" s="126"/>
      <c r="F9" s="126"/>
      <c r="G9" s="127"/>
      <c r="H9" s="39"/>
    </row>
    <row r="10" spans="1:8" ht="12.75">
      <c r="A10" s="49" t="s">
        <v>103</v>
      </c>
      <c r="B10" s="53" t="s">
        <v>104</v>
      </c>
      <c r="C10" s="56" t="s">
        <v>218</v>
      </c>
      <c r="D10" s="57" t="s">
        <v>425</v>
      </c>
      <c r="E10" s="57" t="s">
        <v>426</v>
      </c>
      <c r="F10" s="57" t="s">
        <v>427</v>
      </c>
      <c r="G10" s="58" t="s">
        <v>428</v>
      </c>
      <c r="H10" s="40"/>
    </row>
    <row r="11" spans="1:9" ht="12.75">
      <c r="A11" s="50"/>
      <c r="B11" s="54" t="s">
        <v>36</v>
      </c>
      <c r="C11" s="54" t="s">
        <v>220</v>
      </c>
      <c r="D11" s="60">
        <f>'Stavební rozpočet'!I12</f>
        <v>0</v>
      </c>
      <c r="E11" s="60">
        <f>'Stavební rozpočet'!J12</f>
        <v>0</v>
      </c>
      <c r="F11" s="60">
        <f>'Stavební rozpočet'!K12</f>
        <v>0</v>
      </c>
      <c r="G11" s="62">
        <f>'Stavební rozpočet'!M12</f>
        <v>0.21555000000000002</v>
      </c>
      <c r="H11" s="59" t="s">
        <v>429</v>
      </c>
      <c r="I11" s="41">
        <f aca="true" t="shared" si="0" ref="I11:I33">IF(H11="F",0,F11)</f>
        <v>0</v>
      </c>
    </row>
    <row r="12" spans="1:9" ht="12.75">
      <c r="A12" s="51"/>
      <c r="B12" s="17" t="s">
        <v>39</v>
      </c>
      <c r="C12" s="17" t="s">
        <v>224</v>
      </c>
      <c r="D12" s="41">
        <f>'Stavební rozpočet'!I16</f>
        <v>0</v>
      </c>
      <c r="E12" s="41">
        <f>'Stavební rozpočet'!J16</f>
        <v>0</v>
      </c>
      <c r="F12" s="41">
        <f>'Stavební rozpočet'!K16</f>
        <v>0</v>
      </c>
      <c r="G12" s="63">
        <f>'Stavební rozpočet'!M16</f>
        <v>3.039479</v>
      </c>
      <c r="H12" s="59" t="s">
        <v>429</v>
      </c>
      <c r="I12" s="41">
        <f t="shared" si="0"/>
        <v>0</v>
      </c>
    </row>
    <row r="13" spans="1:9" ht="12.75">
      <c r="A13" s="51"/>
      <c r="B13" s="17" t="s">
        <v>46</v>
      </c>
      <c r="C13" s="17" t="s">
        <v>228</v>
      </c>
      <c r="D13" s="41">
        <f>'Stavební rozpočet'!I20</f>
        <v>0</v>
      </c>
      <c r="E13" s="41">
        <f>'Stavební rozpočet'!J20</f>
        <v>0</v>
      </c>
      <c r="F13" s="41">
        <f>'Stavební rozpočet'!K20</f>
        <v>0</v>
      </c>
      <c r="G13" s="63">
        <f>'Stavební rozpočet'!M20</f>
        <v>0.0827904</v>
      </c>
      <c r="H13" s="59" t="s">
        <v>429</v>
      </c>
      <c r="I13" s="41">
        <f t="shared" si="0"/>
        <v>0</v>
      </c>
    </row>
    <row r="14" spans="1:9" ht="12.75">
      <c r="A14" s="51"/>
      <c r="B14" s="17" t="s">
        <v>66</v>
      </c>
      <c r="C14" s="17" t="s">
        <v>231</v>
      </c>
      <c r="D14" s="41">
        <f>'Stavební rozpočet'!I23</f>
        <v>0</v>
      </c>
      <c r="E14" s="41">
        <f>'Stavební rozpočet'!J23</f>
        <v>0</v>
      </c>
      <c r="F14" s="41">
        <f>'Stavební rozpočet'!K23</f>
        <v>0</v>
      </c>
      <c r="G14" s="63">
        <f>'Stavební rozpočet'!M23</f>
        <v>2.290193</v>
      </c>
      <c r="H14" s="59" t="s">
        <v>429</v>
      </c>
      <c r="I14" s="41">
        <f t="shared" si="0"/>
        <v>0</v>
      </c>
    </row>
    <row r="15" spans="1:9" ht="12.75">
      <c r="A15" s="51"/>
      <c r="B15" s="17" t="s">
        <v>68</v>
      </c>
      <c r="C15" s="17" t="s">
        <v>236</v>
      </c>
      <c r="D15" s="41">
        <f>'Stavební rozpočet'!I28</f>
        <v>0</v>
      </c>
      <c r="E15" s="41">
        <f>'Stavební rozpočet'!J28</f>
        <v>0</v>
      </c>
      <c r="F15" s="41">
        <f>'Stavební rozpočet'!K28</f>
        <v>0</v>
      </c>
      <c r="G15" s="63">
        <f>'Stavební rozpočet'!M28</f>
        <v>0.0213379</v>
      </c>
      <c r="H15" s="59" t="s">
        <v>429</v>
      </c>
      <c r="I15" s="41">
        <f t="shared" si="0"/>
        <v>0</v>
      </c>
    </row>
    <row r="16" spans="1:9" ht="12.75">
      <c r="A16" s="51"/>
      <c r="B16" s="17" t="s">
        <v>118</v>
      </c>
      <c r="C16" s="17" t="s">
        <v>238</v>
      </c>
      <c r="D16" s="41">
        <f>'Stavební rozpočet'!I30</f>
        <v>0</v>
      </c>
      <c r="E16" s="41">
        <f>'Stavební rozpočet'!J30</f>
        <v>0</v>
      </c>
      <c r="F16" s="41">
        <f>'Stavební rozpočet'!K30</f>
        <v>0</v>
      </c>
      <c r="G16" s="63">
        <f>'Stavební rozpočet'!M30</f>
        <v>0.041495000000000004</v>
      </c>
      <c r="H16" s="59" t="s">
        <v>429</v>
      </c>
      <c r="I16" s="41">
        <f t="shared" si="0"/>
        <v>0</v>
      </c>
    </row>
    <row r="17" spans="1:9" ht="12.75">
      <c r="A17" s="51"/>
      <c r="B17" s="17" t="s">
        <v>127</v>
      </c>
      <c r="C17" s="17" t="s">
        <v>247</v>
      </c>
      <c r="D17" s="41">
        <f>'Stavební rozpočet'!I39</f>
        <v>0</v>
      </c>
      <c r="E17" s="41">
        <f>'Stavební rozpočet'!J39</f>
        <v>0</v>
      </c>
      <c r="F17" s="41">
        <f>'Stavební rozpočet'!K39</f>
        <v>0</v>
      </c>
      <c r="G17" s="63">
        <f>'Stavební rozpočet'!M39</f>
        <v>0.01234</v>
      </c>
      <c r="H17" s="59" t="s">
        <v>429</v>
      </c>
      <c r="I17" s="41">
        <f t="shared" si="0"/>
        <v>0</v>
      </c>
    </row>
    <row r="18" spans="1:9" ht="12.75">
      <c r="A18" s="51"/>
      <c r="B18" s="17" t="s">
        <v>138</v>
      </c>
      <c r="C18" s="17" t="s">
        <v>258</v>
      </c>
      <c r="D18" s="41">
        <f>'Stavební rozpočet'!I50</f>
        <v>0</v>
      </c>
      <c r="E18" s="41">
        <f>'Stavební rozpočet'!J50</f>
        <v>0</v>
      </c>
      <c r="F18" s="41">
        <f>'Stavební rozpočet'!K50</f>
        <v>0</v>
      </c>
      <c r="G18" s="63">
        <f>'Stavební rozpočet'!M50</f>
        <v>0.16827</v>
      </c>
      <c r="H18" s="59" t="s">
        <v>429</v>
      </c>
      <c r="I18" s="41">
        <f t="shared" si="0"/>
        <v>0</v>
      </c>
    </row>
    <row r="19" spans="1:9" ht="12.75">
      <c r="A19" s="51"/>
      <c r="B19" s="17" t="s">
        <v>147</v>
      </c>
      <c r="C19" s="17" t="s">
        <v>267</v>
      </c>
      <c r="D19" s="41">
        <f>'Stavební rozpočet'!I59</f>
        <v>0</v>
      </c>
      <c r="E19" s="41">
        <f>'Stavební rozpočet'!J59</f>
        <v>0</v>
      </c>
      <c r="F19" s="41">
        <f>'Stavební rozpočet'!K59</f>
        <v>0</v>
      </c>
      <c r="G19" s="63">
        <f>'Stavební rozpočet'!M59</f>
        <v>0.009</v>
      </c>
      <c r="H19" s="59" t="s">
        <v>429</v>
      </c>
      <c r="I19" s="41">
        <f t="shared" si="0"/>
        <v>0</v>
      </c>
    </row>
    <row r="20" spans="1:9" ht="12.75">
      <c r="A20" s="51"/>
      <c r="B20" s="17" t="s">
        <v>149</v>
      </c>
      <c r="C20" s="17" t="s">
        <v>269</v>
      </c>
      <c r="D20" s="41">
        <f>'Stavební rozpočet'!I61</f>
        <v>0</v>
      </c>
      <c r="E20" s="41">
        <f>'Stavební rozpočet'!J61</f>
        <v>0</v>
      </c>
      <c r="F20" s="41">
        <f>'Stavební rozpočet'!K61</f>
        <v>0</v>
      </c>
      <c r="G20" s="63">
        <f>'Stavební rozpočet'!M61</f>
        <v>0.0144</v>
      </c>
      <c r="H20" s="59" t="s">
        <v>429</v>
      </c>
      <c r="I20" s="41">
        <f t="shared" si="0"/>
        <v>0</v>
      </c>
    </row>
    <row r="21" spans="1:9" ht="12.75">
      <c r="A21" s="51"/>
      <c r="B21" s="17" t="s">
        <v>155</v>
      </c>
      <c r="C21" s="17" t="s">
        <v>275</v>
      </c>
      <c r="D21" s="41">
        <f>'Stavební rozpočet'!I67</f>
        <v>0</v>
      </c>
      <c r="E21" s="41">
        <f>'Stavební rozpočet'!J67</f>
        <v>0</v>
      </c>
      <c r="F21" s="41">
        <f>'Stavební rozpočet'!K67</f>
        <v>0</v>
      </c>
      <c r="G21" s="63">
        <f>'Stavební rozpočet'!M67</f>
        <v>0.004788</v>
      </c>
      <c r="H21" s="59" t="s">
        <v>429</v>
      </c>
      <c r="I21" s="41">
        <f t="shared" si="0"/>
        <v>0</v>
      </c>
    </row>
    <row r="22" spans="1:9" ht="12.75">
      <c r="A22" s="51"/>
      <c r="B22" s="17" t="s">
        <v>157</v>
      </c>
      <c r="C22" s="17" t="s">
        <v>277</v>
      </c>
      <c r="D22" s="41">
        <f>'Stavební rozpočet'!I69</f>
        <v>0</v>
      </c>
      <c r="E22" s="41">
        <f>'Stavební rozpočet'!J69</f>
        <v>0</v>
      </c>
      <c r="F22" s="41">
        <f>'Stavební rozpočet'!K69</f>
        <v>0</v>
      </c>
      <c r="G22" s="63">
        <f>'Stavební rozpočet'!M69</f>
        <v>0</v>
      </c>
      <c r="H22" s="59" t="s">
        <v>429</v>
      </c>
      <c r="I22" s="41">
        <f t="shared" si="0"/>
        <v>0</v>
      </c>
    </row>
    <row r="23" spans="1:9" ht="12.75">
      <c r="A23" s="51"/>
      <c r="B23" s="17" t="s">
        <v>159</v>
      </c>
      <c r="C23" s="17" t="s">
        <v>279</v>
      </c>
      <c r="D23" s="41">
        <f>'Stavební rozpočet'!I71</f>
        <v>0</v>
      </c>
      <c r="E23" s="41">
        <f>'Stavební rozpočet'!J71</f>
        <v>0</v>
      </c>
      <c r="F23" s="41">
        <f>'Stavební rozpočet'!K71</f>
        <v>0</v>
      </c>
      <c r="G23" s="63">
        <f>'Stavební rozpočet'!M71</f>
        <v>0.5689244</v>
      </c>
      <c r="H23" s="59" t="s">
        <v>429</v>
      </c>
      <c r="I23" s="41">
        <f t="shared" si="0"/>
        <v>0</v>
      </c>
    </row>
    <row r="24" spans="1:9" ht="12.75">
      <c r="A24" s="51"/>
      <c r="B24" s="17" t="s">
        <v>162</v>
      </c>
      <c r="C24" s="17" t="s">
        <v>282</v>
      </c>
      <c r="D24" s="41">
        <f>'Stavební rozpočet'!I74</f>
        <v>0</v>
      </c>
      <c r="E24" s="41">
        <f>'Stavební rozpočet'!J74</f>
        <v>0</v>
      </c>
      <c r="F24" s="41">
        <f>'Stavební rozpočet'!K74</f>
        <v>0</v>
      </c>
      <c r="G24" s="63">
        <f>'Stavební rozpočet'!M74</f>
        <v>0</v>
      </c>
      <c r="H24" s="59" t="s">
        <v>429</v>
      </c>
      <c r="I24" s="41">
        <f t="shared" si="0"/>
        <v>0</v>
      </c>
    </row>
    <row r="25" spans="1:9" ht="12.75">
      <c r="A25" s="51"/>
      <c r="B25" s="17" t="s">
        <v>164</v>
      </c>
      <c r="C25" s="17" t="s">
        <v>284</v>
      </c>
      <c r="D25" s="41">
        <f>'Stavební rozpočet'!I76</f>
        <v>0</v>
      </c>
      <c r="E25" s="41">
        <f>'Stavební rozpočet'!J76</f>
        <v>0</v>
      </c>
      <c r="F25" s="41">
        <f>'Stavební rozpočet'!K76</f>
        <v>0</v>
      </c>
      <c r="G25" s="63">
        <f>'Stavební rozpočet'!M76</f>
        <v>0.12003240000000001</v>
      </c>
      <c r="H25" s="59" t="s">
        <v>429</v>
      </c>
      <c r="I25" s="41">
        <f t="shared" si="0"/>
        <v>0</v>
      </c>
    </row>
    <row r="26" spans="1:9" ht="12.75">
      <c r="A26" s="51"/>
      <c r="B26" s="17" t="s">
        <v>100</v>
      </c>
      <c r="C26" s="17" t="s">
        <v>288</v>
      </c>
      <c r="D26" s="41">
        <f>'Stavební rozpočet'!I80</f>
        <v>0</v>
      </c>
      <c r="E26" s="41">
        <f>'Stavební rozpočet'!J80</f>
        <v>0</v>
      </c>
      <c r="F26" s="41">
        <f>'Stavební rozpočet'!K80</f>
        <v>0</v>
      </c>
      <c r="G26" s="63">
        <f>'Stavební rozpočet'!M80</f>
        <v>0.03632679999999999</v>
      </c>
      <c r="H26" s="59" t="s">
        <v>429</v>
      </c>
      <c r="I26" s="41">
        <f t="shared" si="0"/>
        <v>0</v>
      </c>
    </row>
    <row r="27" spans="1:9" ht="12.75">
      <c r="A27" s="51"/>
      <c r="B27" s="17" t="s">
        <v>101</v>
      </c>
      <c r="C27" s="17" t="s">
        <v>292</v>
      </c>
      <c r="D27" s="41">
        <f>'Stavební rozpočet'!I84</f>
        <v>0</v>
      </c>
      <c r="E27" s="41">
        <f>'Stavební rozpočet'!J84</f>
        <v>0</v>
      </c>
      <c r="F27" s="41">
        <f>'Stavební rozpočet'!K84</f>
        <v>0</v>
      </c>
      <c r="G27" s="63">
        <f>'Stavební rozpočet'!M84</f>
        <v>3.1718348</v>
      </c>
      <c r="H27" s="59" t="s">
        <v>429</v>
      </c>
      <c r="I27" s="41">
        <f t="shared" si="0"/>
        <v>0</v>
      </c>
    </row>
    <row r="28" spans="1:9" ht="12.75">
      <c r="A28" s="51"/>
      <c r="B28" s="17" t="s">
        <v>175</v>
      </c>
      <c r="C28" s="17" t="s">
        <v>297</v>
      </c>
      <c r="D28" s="41">
        <f>'Stavební rozpočet'!I89</f>
        <v>0</v>
      </c>
      <c r="E28" s="41">
        <f>'Stavební rozpočet'!J89</f>
        <v>0</v>
      </c>
      <c r="F28" s="41">
        <f>'Stavební rozpočet'!K89</f>
        <v>0</v>
      </c>
      <c r="G28" s="63">
        <f>'Stavební rozpočet'!M89</f>
        <v>0.09033</v>
      </c>
      <c r="H28" s="59" t="s">
        <v>429</v>
      </c>
      <c r="I28" s="41">
        <f t="shared" si="0"/>
        <v>0</v>
      </c>
    </row>
    <row r="29" spans="1:9" ht="12.75">
      <c r="A29" s="51"/>
      <c r="B29" s="17" t="s">
        <v>177</v>
      </c>
      <c r="C29" s="17" t="s">
        <v>299</v>
      </c>
      <c r="D29" s="41">
        <f>'Stavební rozpočet'!I91</f>
        <v>0</v>
      </c>
      <c r="E29" s="41">
        <f>'Stavební rozpočet'!J91</f>
        <v>0</v>
      </c>
      <c r="F29" s="41">
        <f>'Stavební rozpočet'!K91</f>
        <v>0</v>
      </c>
      <c r="G29" s="63">
        <f>'Stavební rozpočet'!M91</f>
        <v>0</v>
      </c>
      <c r="H29" s="59" t="s">
        <v>429</v>
      </c>
      <c r="I29" s="41">
        <f t="shared" si="0"/>
        <v>0</v>
      </c>
    </row>
    <row r="30" spans="1:9" ht="12.75">
      <c r="A30" s="51"/>
      <c r="B30" s="17" t="s">
        <v>179</v>
      </c>
      <c r="C30" s="17" t="s">
        <v>301</v>
      </c>
      <c r="D30" s="41">
        <f>'Stavební rozpočet'!I93</f>
        <v>0</v>
      </c>
      <c r="E30" s="41">
        <f>'Stavební rozpočet'!J93</f>
        <v>0</v>
      </c>
      <c r="F30" s="41">
        <f>'Stavební rozpočet'!K93</f>
        <v>0</v>
      </c>
      <c r="G30" s="63">
        <f>'Stavební rozpočet'!M93</f>
        <v>0</v>
      </c>
      <c r="H30" s="59" t="s">
        <v>429</v>
      </c>
      <c r="I30" s="41">
        <f t="shared" si="0"/>
        <v>0</v>
      </c>
    </row>
    <row r="31" spans="1:9" ht="12.75">
      <c r="A31" s="51"/>
      <c r="B31" s="17" t="s">
        <v>182</v>
      </c>
      <c r="C31" s="17" t="s">
        <v>304</v>
      </c>
      <c r="D31" s="41">
        <f>'Stavební rozpočet'!I96</f>
        <v>0</v>
      </c>
      <c r="E31" s="41">
        <f>'Stavební rozpočet'!J96</f>
        <v>0</v>
      </c>
      <c r="F31" s="41">
        <f>'Stavební rozpočet'!K96</f>
        <v>0</v>
      </c>
      <c r="G31" s="63">
        <f>'Stavební rozpočet'!M96</f>
        <v>0.00013</v>
      </c>
      <c r="H31" s="59" t="s">
        <v>429</v>
      </c>
      <c r="I31" s="41">
        <f t="shared" si="0"/>
        <v>0</v>
      </c>
    </row>
    <row r="32" spans="1:9" ht="12.75">
      <c r="A32" s="51"/>
      <c r="B32" s="17" t="s">
        <v>184</v>
      </c>
      <c r="C32" s="17" t="s">
        <v>306</v>
      </c>
      <c r="D32" s="41">
        <f>'Stavební rozpočet'!I98</f>
        <v>0</v>
      </c>
      <c r="E32" s="41">
        <f>'Stavební rozpočet'!J98</f>
        <v>0</v>
      </c>
      <c r="F32" s="41">
        <f>'Stavební rozpočet'!K98</f>
        <v>0</v>
      </c>
      <c r="G32" s="63">
        <f>'Stavební rozpočet'!M98</f>
        <v>0</v>
      </c>
      <c r="H32" s="59" t="s">
        <v>429</v>
      </c>
      <c r="I32" s="41">
        <f t="shared" si="0"/>
        <v>0</v>
      </c>
    </row>
    <row r="33" spans="1:9" ht="12.75">
      <c r="A33" s="52"/>
      <c r="B33" s="55"/>
      <c r="C33" s="55" t="s">
        <v>315</v>
      </c>
      <c r="D33" s="61">
        <f>'Stavební rozpočet'!I107</f>
        <v>0</v>
      </c>
      <c r="E33" s="61">
        <f>'Stavební rozpočet'!J107</f>
        <v>0</v>
      </c>
      <c r="F33" s="61">
        <f>'Stavební rozpočet'!K107</f>
        <v>0</v>
      </c>
      <c r="G33" s="64">
        <f>'Stavební rozpočet'!M107</f>
        <v>0.64851</v>
      </c>
      <c r="H33" s="59" t="s">
        <v>429</v>
      </c>
      <c r="I33" s="41">
        <f t="shared" si="0"/>
        <v>0</v>
      </c>
    </row>
    <row r="34" spans="1:7" ht="12.75">
      <c r="A34" s="8"/>
      <c r="B34" s="8"/>
      <c r="C34" s="8"/>
      <c r="D34" s="8"/>
      <c r="E34" s="27" t="s">
        <v>363</v>
      </c>
      <c r="F34" s="48">
        <f>SUM(I11:I33)</f>
        <v>0</v>
      </c>
      <c r="G34" s="8"/>
    </row>
  </sheetData>
  <sheetProtection/>
  <mergeCells count="25"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2.8515625" style="0" customWidth="1"/>
    <col min="5" max="5" width="14.281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09" t="s">
        <v>430</v>
      </c>
      <c r="B1" s="110"/>
      <c r="C1" s="110"/>
      <c r="D1" s="110"/>
      <c r="E1" s="110"/>
      <c r="F1" s="110"/>
      <c r="G1" s="110"/>
      <c r="H1" s="110"/>
    </row>
    <row r="2" spans="1:9" ht="12.75">
      <c r="A2" s="111" t="s">
        <v>0</v>
      </c>
      <c r="B2" s="112"/>
      <c r="C2" s="115" t="str">
        <f>'Stavební rozpočet'!D2</f>
        <v>OPRAVA SESTEREN A KLUBOVEN</v>
      </c>
      <c r="D2" s="116"/>
      <c r="E2" s="119" t="s">
        <v>357</v>
      </c>
      <c r="F2" s="119" t="str">
        <f>'Stavební rozpočet'!J2</f>
        <v> </v>
      </c>
      <c r="G2" s="112"/>
      <c r="H2" s="120"/>
      <c r="I2" s="39"/>
    </row>
    <row r="3" spans="1:9" ht="12.75">
      <c r="A3" s="113"/>
      <c r="B3" s="114"/>
      <c r="C3" s="117"/>
      <c r="D3" s="117"/>
      <c r="E3" s="114"/>
      <c r="F3" s="114"/>
      <c r="G3" s="114"/>
      <c r="H3" s="121"/>
      <c r="I3" s="39"/>
    </row>
    <row r="4" spans="1:9" ht="12.75">
      <c r="A4" s="122" t="s">
        <v>1</v>
      </c>
      <c r="B4" s="114"/>
      <c r="C4" s="123" t="str">
        <f>'Stavební rozpočet'!D4</f>
        <v>Objekt DS 1, III.N.p. - sesterna</v>
      </c>
      <c r="D4" s="114"/>
      <c r="E4" s="123" t="s">
        <v>358</v>
      </c>
      <c r="F4" s="123" t="str">
        <f>'Stavební rozpočet'!J4</f>
        <v> </v>
      </c>
      <c r="G4" s="114"/>
      <c r="H4" s="121"/>
      <c r="I4" s="39"/>
    </row>
    <row r="5" spans="1:9" ht="12.75">
      <c r="A5" s="113"/>
      <c r="B5" s="114"/>
      <c r="C5" s="114"/>
      <c r="D5" s="114"/>
      <c r="E5" s="114"/>
      <c r="F5" s="114"/>
      <c r="G5" s="114"/>
      <c r="H5" s="121"/>
      <c r="I5" s="39"/>
    </row>
    <row r="6" spans="1:9" ht="12.75">
      <c r="A6" s="122" t="s">
        <v>2</v>
      </c>
      <c r="B6" s="114"/>
      <c r="C6" s="123" t="str">
        <f>'Stavební rozpočet'!D6</f>
        <v>Domov Sedlčany, poskytovatel sociálních služeb</v>
      </c>
      <c r="D6" s="114"/>
      <c r="E6" s="123" t="s">
        <v>359</v>
      </c>
      <c r="F6" s="123" t="str">
        <f>'Stavební rozpočet'!J6</f>
        <v> </v>
      </c>
      <c r="G6" s="114"/>
      <c r="H6" s="121"/>
      <c r="I6" s="39"/>
    </row>
    <row r="7" spans="1:9" ht="12.75">
      <c r="A7" s="113"/>
      <c r="B7" s="114"/>
      <c r="C7" s="114"/>
      <c r="D7" s="114"/>
      <c r="E7" s="114"/>
      <c r="F7" s="114"/>
      <c r="G7" s="114"/>
      <c r="H7" s="121"/>
      <c r="I7" s="39"/>
    </row>
    <row r="8" spans="1:9" ht="12.75">
      <c r="A8" s="122" t="s">
        <v>360</v>
      </c>
      <c r="B8" s="114"/>
      <c r="C8" s="123" t="str">
        <f>'Stavební rozpočet'!J8</f>
        <v>Mgr. Josef Šimonvský</v>
      </c>
      <c r="D8" s="114"/>
      <c r="E8" s="123" t="s">
        <v>342</v>
      </c>
      <c r="F8" s="123" t="str">
        <f>'Stavební rozpočet'!H8</f>
        <v>31.10.2021</v>
      </c>
      <c r="G8" s="114"/>
      <c r="H8" s="121"/>
      <c r="I8" s="39"/>
    </row>
    <row r="9" spans="1:9" ht="12.75">
      <c r="A9" s="125"/>
      <c r="B9" s="126"/>
      <c r="C9" s="126"/>
      <c r="D9" s="126"/>
      <c r="E9" s="126"/>
      <c r="F9" s="126"/>
      <c r="G9" s="126"/>
      <c r="H9" s="127"/>
      <c r="I9" s="39"/>
    </row>
    <row r="10" spans="1:9" ht="12.75">
      <c r="A10" s="65" t="s">
        <v>4</v>
      </c>
      <c r="B10" s="66" t="s">
        <v>103</v>
      </c>
      <c r="C10" s="66" t="s">
        <v>104</v>
      </c>
      <c r="D10" s="148" t="s">
        <v>218</v>
      </c>
      <c r="E10" s="149"/>
      <c r="F10" s="66" t="s">
        <v>343</v>
      </c>
      <c r="G10" s="67" t="s">
        <v>350</v>
      </c>
      <c r="H10" s="68" t="s">
        <v>431</v>
      </c>
      <c r="I10" s="40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ht="11.25" customHeight="1">
      <c r="A12" s="9" t="s">
        <v>102</v>
      </c>
    </row>
    <row r="13" spans="1:7" ht="12.75">
      <c r="A13" s="123"/>
      <c r="B13" s="114"/>
      <c r="C13" s="114"/>
      <c r="D13" s="114"/>
      <c r="E13" s="114"/>
      <c r="F13" s="114"/>
      <c r="G13" s="114"/>
    </row>
  </sheetData>
  <sheetProtection/>
  <mergeCells count="19">
    <mergeCell ref="D10:E10"/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72.75" customHeight="1">
      <c r="A1" s="109" t="s">
        <v>432</v>
      </c>
      <c r="B1" s="110"/>
      <c r="C1" s="110"/>
      <c r="D1" s="110"/>
      <c r="E1" s="110"/>
      <c r="F1" s="110"/>
      <c r="G1" s="110"/>
      <c r="H1" s="110"/>
    </row>
    <row r="2" spans="1:9" ht="12.75">
      <c r="A2" s="111" t="s">
        <v>0</v>
      </c>
      <c r="B2" s="115" t="str">
        <f>'Stavební rozpočet'!D2</f>
        <v>OPRAVA SESTEREN A KLUBOVEN</v>
      </c>
      <c r="C2" s="118" t="s">
        <v>339</v>
      </c>
      <c r="D2" s="119" t="str">
        <f>'Stavební rozpočet'!H2</f>
        <v>137 dní</v>
      </c>
      <c r="E2" s="112"/>
      <c r="F2" s="119" t="s">
        <v>357</v>
      </c>
      <c r="G2" s="119" t="str">
        <f>'Stavební rozpočet'!J2</f>
        <v> </v>
      </c>
      <c r="H2" s="120"/>
      <c r="I2" s="39"/>
    </row>
    <row r="3" spans="1:9" ht="12.75">
      <c r="A3" s="113"/>
      <c r="B3" s="117"/>
      <c r="C3" s="114"/>
      <c r="D3" s="114"/>
      <c r="E3" s="114"/>
      <c r="F3" s="114"/>
      <c r="G3" s="114"/>
      <c r="H3" s="121"/>
      <c r="I3" s="39"/>
    </row>
    <row r="4" spans="1:9" ht="12.75">
      <c r="A4" s="122" t="s">
        <v>1</v>
      </c>
      <c r="B4" s="123" t="str">
        <f>'Stavební rozpočet'!D4</f>
        <v>Objekt DS 1, III.N.p. - sesterna</v>
      </c>
      <c r="C4" s="124" t="s">
        <v>340</v>
      </c>
      <c r="D4" s="123" t="str">
        <f>'Stavební rozpočet'!H4</f>
        <v>15.11.2021</v>
      </c>
      <c r="E4" s="114"/>
      <c r="F4" s="123" t="s">
        <v>358</v>
      </c>
      <c r="G4" s="123" t="str">
        <f>'Stavební rozpočet'!J4</f>
        <v> </v>
      </c>
      <c r="H4" s="121"/>
      <c r="I4" s="39"/>
    </row>
    <row r="5" spans="1:9" ht="12.75">
      <c r="A5" s="113"/>
      <c r="B5" s="114"/>
      <c r="C5" s="114"/>
      <c r="D5" s="114"/>
      <c r="E5" s="114"/>
      <c r="F5" s="114"/>
      <c r="G5" s="114"/>
      <c r="H5" s="121"/>
      <c r="I5" s="39"/>
    </row>
    <row r="6" spans="1:9" ht="12.75">
      <c r="A6" s="122" t="s">
        <v>2</v>
      </c>
      <c r="B6" s="123" t="str">
        <f>'Stavební rozpočet'!D6</f>
        <v>Domov Sedlčany, poskytovatel sociálních služeb</v>
      </c>
      <c r="C6" s="124" t="s">
        <v>341</v>
      </c>
      <c r="D6" s="123" t="str">
        <f>'Stavební rozpočet'!H6</f>
        <v>31.03.2022</v>
      </c>
      <c r="E6" s="114"/>
      <c r="F6" s="123" t="s">
        <v>359</v>
      </c>
      <c r="G6" s="123" t="str">
        <f>'Stavební rozpočet'!J6</f>
        <v> </v>
      </c>
      <c r="H6" s="121"/>
      <c r="I6" s="39"/>
    </row>
    <row r="7" spans="1:9" ht="12.75">
      <c r="A7" s="113"/>
      <c r="B7" s="114"/>
      <c r="C7" s="114"/>
      <c r="D7" s="114"/>
      <c r="E7" s="114"/>
      <c r="F7" s="114"/>
      <c r="G7" s="114"/>
      <c r="H7" s="121"/>
      <c r="I7" s="39"/>
    </row>
    <row r="8" spans="1:9" ht="12.75">
      <c r="A8" s="122" t="s">
        <v>3</v>
      </c>
      <c r="B8" s="123">
        <f>'Stavební rozpočet'!D8</f>
        <v>8012122</v>
      </c>
      <c r="C8" s="124" t="s">
        <v>342</v>
      </c>
      <c r="D8" s="123" t="str">
        <f>'Stavební rozpočet'!H8</f>
        <v>31.10.2021</v>
      </c>
      <c r="E8" s="114"/>
      <c r="F8" s="123" t="s">
        <v>360</v>
      </c>
      <c r="G8" s="123" t="str">
        <f>'Stavební rozpočet'!J8</f>
        <v>Mgr. Josef Šimonvský</v>
      </c>
      <c r="H8" s="121"/>
      <c r="I8" s="39"/>
    </row>
    <row r="9" spans="1:9" ht="12.75">
      <c r="A9" s="153"/>
      <c r="B9" s="154"/>
      <c r="C9" s="154"/>
      <c r="D9" s="154"/>
      <c r="E9" s="154"/>
      <c r="F9" s="154"/>
      <c r="G9" s="154"/>
      <c r="H9" s="155"/>
      <c r="I9" s="39"/>
    </row>
    <row r="10" spans="1:9" ht="12.75">
      <c r="A10" s="69" t="s">
        <v>104</v>
      </c>
      <c r="B10" s="71" t="s">
        <v>218</v>
      </c>
      <c r="C10" s="73" t="s">
        <v>433</v>
      </c>
      <c r="D10" s="73" t="s">
        <v>434</v>
      </c>
      <c r="E10" s="73" t="s">
        <v>435</v>
      </c>
      <c r="F10" s="150" t="s">
        <v>436</v>
      </c>
      <c r="G10" s="151"/>
      <c r="H10" s="152"/>
      <c r="I10" s="40"/>
    </row>
    <row r="11" spans="1:8" ht="11.25" customHeight="1">
      <c r="A11" s="70" t="s">
        <v>102</v>
      </c>
      <c r="B11" s="72"/>
      <c r="C11" s="72"/>
      <c r="D11" s="72"/>
      <c r="E11" s="72"/>
      <c r="F11" s="72"/>
      <c r="G11" s="72"/>
      <c r="H11" s="72"/>
    </row>
    <row r="12" spans="1:8" ht="12.75">
      <c r="A12" s="123"/>
      <c r="B12" s="114"/>
      <c r="C12" s="114"/>
      <c r="D12" s="114"/>
      <c r="E12" s="114"/>
      <c r="F12" s="114"/>
      <c r="G12" s="114"/>
      <c r="H12" s="114"/>
    </row>
  </sheetData>
  <sheetProtection/>
  <mergeCells count="27">
    <mergeCell ref="F10:H10"/>
    <mergeCell ref="A12:H12"/>
    <mergeCell ref="A8:A9"/>
    <mergeCell ref="B8:B9"/>
    <mergeCell ref="C8:C9"/>
    <mergeCell ref="D8:E9"/>
    <mergeCell ref="F8:F9"/>
    <mergeCell ref="G8:H9"/>
    <mergeCell ref="A6:A7"/>
    <mergeCell ref="B6:B7"/>
    <mergeCell ref="C6:C7"/>
    <mergeCell ref="D6:E7"/>
    <mergeCell ref="F6:F7"/>
    <mergeCell ref="G6:H7"/>
    <mergeCell ref="A4:A5"/>
    <mergeCell ref="B4:B5"/>
    <mergeCell ref="C4:C5"/>
    <mergeCell ref="D4:E5"/>
    <mergeCell ref="F4:F5"/>
    <mergeCell ref="G4:H5"/>
    <mergeCell ref="A1:H1"/>
    <mergeCell ref="A2:A3"/>
    <mergeCell ref="B2:B3"/>
    <mergeCell ref="C2:C3"/>
    <mergeCell ref="D2:E3"/>
    <mergeCell ref="F2:F3"/>
    <mergeCell ref="G2:H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10" width="11.421875" style="0" customWidth="1"/>
    <col min="11" max="11" width="21.140625" style="0" customWidth="1"/>
    <col min="12" max="12" width="11.421875" style="0" customWidth="1"/>
    <col min="13" max="15" width="20.00390625" style="0" customWidth="1"/>
    <col min="16" max="30" width="11.57421875" style="0" customWidth="1"/>
    <col min="31" max="31" width="12.140625" style="0" hidden="1" customWidth="1"/>
  </cols>
  <sheetData>
    <row r="1" spans="1:15" ht="72.75" customHeight="1">
      <c r="A1" s="109" t="s">
        <v>437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6" ht="12.75">
      <c r="A2" s="111" t="s">
        <v>0</v>
      </c>
      <c r="B2" s="115" t="str">
        <f>'Stavební rozpočet'!D2</f>
        <v>OPRAVA SESTEREN A KLUBOVEN</v>
      </c>
      <c r="C2" s="116"/>
      <c r="D2" s="116"/>
      <c r="E2" s="118" t="s">
        <v>339</v>
      </c>
      <c r="F2" s="119" t="str">
        <f>'Stavební rozpočet'!H2</f>
        <v>137 dní</v>
      </c>
      <c r="G2" s="119" t="s">
        <v>357</v>
      </c>
      <c r="H2" s="119" t="str">
        <f>'Stavební rozpočet'!J2</f>
        <v> </v>
      </c>
      <c r="I2" s="112"/>
      <c r="J2" s="112"/>
      <c r="K2" s="112"/>
      <c r="L2" s="112"/>
      <c r="M2" s="112"/>
      <c r="N2" s="112"/>
      <c r="O2" s="120"/>
      <c r="P2" s="39"/>
    </row>
    <row r="3" spans="1:16" ht="12.75">
      <c r="A3" s="113"/>
      <c r="B3" s="117"/>
      <c r="C3" s="117"/>
      <c r="D3" s="117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21"/>
      <c r="P3" s="39"/>
    </row>
    <row r="4" spans="1:16" ht="12.75">
      <c r="A4" s="122" t="s">
        <v>1</v>
      </c>
      <c r="B4" s="123" t="str">
        <f>'Stavební rozpočet'!D4</f>
        <v>Objekt DS 1, III.N.p. - sesterna</v>
      </c>
      <c r="C4" s="114"/>
      <c r="D4" s="114"/>
      <c r="E4" s="124" t="s">
        <v>340</v>
      </c>
      <c r="F4" s="123" t="str">
        <f>'Stavební rozpočet'!H4</f>
        <v>15.11.2021</v>
      </c>
      <c r="G4" s="123" t="s">
        <v>358</v>
      </c>
      <c r="H4" s="123" t="str">
        <f>'Stavební rozpočet'!J4</f>
        <v> </v>
      </c>
      <c r="I4" s="114"/>
      <c r="J4" s="114"/>
      <c r="K4" s="114"/>
      <c r="L4" s="114"/>
      <c r="M4" s="114"/>
      <c r="N4" s="114"/>
      <c r="O4" s="121"/>
      <c r="P4" s="39"/>
    </row>
    <row r="5" spans="1:16" ht="12.7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21"/>
      <c r="P5" s="39"/>
    </row>
    <row r="6" spans="1:16" ht="12.75">
      <c r="A6" s="122" t="s">
        <v>2</v>
      </c>
      <c r="B6" s="123" t="str">
        <f>'Stavební rozpočet'!D6</f>
        <v>Domov Sedlčany, poskytovatel sociálních služeb</v>
      </c>
      <c r="C6" s="114"/>
      <c r="D6" s="114"/>
      <c r="E6" s="124" t="s">
        <v>341</v>
      </c>
      <c r="F6" s="123" t="str">
        <f>'Stavební rozpočet'!H6</f>
        <v>31.03.2022</v>
      </c>
      <c r="G6" s="123" t="s">
        <v>359</v>
      </c>
      <c r="H6" s="123" t="str">
        <f>'Stavební rozpočet'!J6</f>
        <v> </v>
      </c>
      <c r="I6" s="114"/>
      <c r="J6" s="114"/>
      <c r="K6" s="114"/>
      <c r="L6" s="114"/>
      <c r="M6" s="114"/>
      <c r="N6" s="114"/>
      <c r="O6" s="121"/>
      <c r="P6" s="39"/>
    </row>
    <row r="7" spans="1:16" ht="12.7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21"/>
      <c r="P7" s="39"/>
    </row>
    <row r="8" spans="1:16" ht="12.75">
      <c r="A8" s="122" t="s">
        <v>3</v>
      </c>
      <c r="B8" s="123">
        <f>'Stavební rozpočet'!D8</f>
        <v>8012122</v>
      </c>
      <c r="C8" s="114"/>
      <c r="D8" s="114"/>
      <c r="E8" s="124" t="s">
        <v>342</v>
      </c>
      <c r="F8" s="123" t="str">
        <f>'Stavební rozpočet'!H8</f>
        <v>31.10.2021</v>
      </c>
      <c r="G8" s="123" t="s">
        <v>360</v>
      </c>
      <c r="H8" s="123" t="str">
        <f>'Stavební rozpočet'!J8</f>
        <v>Mgr. Josef Šimonvský</v>
      </c>
      <c r="I8" s="114"/>
      <c r="J8" s="114"/>
      <c r="K8" s="114"/>
      <c r="L8" s="114"/>
      <c r="M8" s="114"/>
      <c r="N8" s="114"/>
      <c r="O8" s="121"/>
      <c r="P8" s="39"/>
    </row>
    <row r="9" spans="1:16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39"/>
    </row>
    <row r="10" spans="1:16" ht="12.75">
      <c r="A10" s="49" t="s">
        <v>4</v>
      </c>
      <c r="B10" s="49" t="s">
        <v>103</v>
      </c>
      <c r="C10" s="53" t="s">
        <v>104</v>
      </c>
      <c r="D10" s="156" t="s">
        <v>218</v>
      </c>
      <c r="E10" s="157"/>
      <c r="F10" s="76" t="s">
        <v>438</v>
      </c>
      <c r="G10" s="76" t="s">
        <v>439</v>
      </c>
      <c r="H10" s="76" t="s">
        <v>440</v>
      </c>
      <c r="I10" s="76" t="s">
        <v>441</v>
      </c>
      <c r="J10" s="76" t="s">
        <v>350</v>
      </c>
      <c r="K10" s="76" t="s">
        <v>442</v>
      </c>
      <c r="L10" s="77" t="s">
        <v>443</v>
      </c>
      <c r="M10" s="81" t="s">
        <v>444</v>
      </c>
      <c r="N10" s="76" t="s">
        <v>445</v>
      </c>
      <c r="O10" s="77" t="s">
        <v>446</v>
      </c>
      <c r="P10" s="40"/>
    </row>
    <row r="11" spans="1:31" ht="12.75">
      <c r="A11" s="74"/>
      <c r="B11" s="12"/>
      <c r="C11" s="12" t="s">
        <v>36</v>
      </c>
      <c r="D11" s="135" t="s">
        <v>220</v>
      </c>
      <c r="E11" s="136"/>
      <c r="F11" s="46">
        <f>SUM(F12:F14)</f>
        <v>0</v>
      </c>
      <c r="G11" s="46">
        <f>SUM(G12:G14)</f>
        <v>0</v>
      </c>
      <c r="H11" s="46">
        <f aca="true" t="shared" si="0" ref="H11:H42">G11-F11</f>
        <v>0</v>
      </c>
      <c r="I11" s="46">
        <f aca="true" t="shared" si="1" ref="I11:I42">IF(F11=0,0,H11/F11*100)</f>
        <v>0</v>
      </c>
      <c r="J11" s="46">
        <f>SUM(J12:J14)</f>
        <v>7</v>
      </c>
      <c r="K11" s="46">
        <f>SUM(K12:K14)</f>
        <v>0</v>
      </c>
      <c r="L11" s="82">
        <f>J11-K11</f>
        <v>7</v>
      </c>
      <c r="M11" s="84" t="str">
        <f aca="true" t="shared" si="2" ref="M11:M42">IF(G11=0,"Nefakturováno",AE11)</f>
        <v>Nefakturováno</v>
      </c>
      <c r="N11" s="46">
        <f aca="true" t="shared" si="3" ref="N11:N42">AE11-G11</f>
        <v>0</v>
      </c>
      <c r="O11" s="89">
        <f aca="true" t="shared" si="4" ref="O11:O42">IF(G11&lt;&gt;0,N11/G11*100,-100)</f>
        <v>-100</v>
      </c>
      <c r="P11" s="39"/>
      <c r="AE11" s="41">
        <v>0</v>
      </c>
    </row>
    <row r="12" spans="1:31" ht="12.75">
      <c r="A12" s="4" t="s">
        <v>6</v>
      </c>
      <c r="B12" s="13"/>
      <c r="C12" s="13" t="s">
        <v>105</v>
      </c>
      <c r="D12" s="137" t="s">
        <v>221</v>
      </c>
      <c r="E12" s="138"/>
      <c r="F12" s="21">
        <f>'Stavební rozpočet'!K13</f>
        <v>0</v>
      </c>
      <c r="G12" s="21">
        <v>0</v>
      </c>
      <c r="H12" s="21">
        <f t="shared" si="0"/>
        <v>0</v>
      </c>
      <c r="I12" s="21">
        <f t="shared" si="1"/>
        <v>0</v>
      </c>
      <c r="J12" s="21">
        <f>'Stavební rozpočet'!G13</f>
        <v>4</v>
      </c>
      <c r="K12" s="21">
        <v>0</v>
      </c>
      <c r="L12" s="78">
        <v>4</v>
      </c>
      <c r="M12" s="85" t="str">
        <f t="shared" si="2"/>
        <v>Nefakturováno</v>
      </c>
      <c r="N12" s="21">
        <f t="shared" si="3"/>
        <v>0</v>
      </c>
      <c r="O12" s="90">
        <f t="shared" si="4"/>
        <v>-100</v>
      </c>
      <c r="P12" s="39"/>
      <c r="AE12" s="21">
        <v>0</v>
      </c>
    </row>
    <row r="13" spans="1:31" ht="12.75">
      <c r="A13" s="4" t="s">
        <v>7</v>
      </c>
      <c r="B13" s="13"/>
      <c r="C13" s="13" t="s">
        <v>106</v>
      </c>
      <c r="D13" s="137" t="s">
        <v>222</v>
      </c>
      <c r="E13" s="138"/>
      <c r="F13" s="21">
        <f>'Stavební rozpočet'!K14</f>
        <v>0</v>
      </c>
      <c r="G13" s="21">
        <v>0</v>
      </c>
      <c r="H13" s="21">
        <f t="shared" si="0"/>
        <v>0</v>
      </c>
      <c r="I13" s="21">
        <f t="shared" si="1"/>
        <v>0</v>
      </c>
      <c r="J13" s="21">
        <f>'Stavební rozpočet'!G14</f>
        <v>2</v>
      </c>
      <c r="K13" s="21">
        <v>0</v>
      </c>
      <c r="L13" s="78">
        <v>2</v>
      </c>
      <c r="M13" s="85" t="str">
        <f t="shared" si="2"/>
        <v>Nefakturováno</v>
      </c>
      <c r="N13" s="21">
        <f t="shared" si="3"/>
        <v>0</v>
      </c>
      <c r="O13" s="90">
        <f t="shared" si="4"/>
        <v>-100</v>
      </c>
      <c r="P13" s="39"/>
      <c r="AE13" s="21">
        <v>0</v>
      </c>
    </row>
    <row r="14" spans="1:31" ht="12.75">
      <c r="A14" s="4" t="s">
        <v>8</v>
      </c>
      <c r="B14" s="13"/>
      <c r="C14" s="13" t="s">
        <v>107</v>
      </c>
      <c r="D14" s="137" t="s">
        <v>223</v>
      </c>
      <c r="E14" s="138"/>
      <c r="F14" s="21">
        <f>'Stavební rozpočet'!K15</f>
        <v>0</v>
      </c>
      <c r="G14" s="21">
        <v>0</v>
      </c>
      <c r="H14" s="21">
        <f t="shared" si="0"/>
        <v>0</v>
      </c>
      <c r="I14" s="21">
        <f t="shared" si="1"/>
        <v>0</v>
      </c>
      <c r="J14" s="21">
        <f>'Stavební rozpočet'!G15</f>
        <v>1</v>
      </c>
      <c r="K14" s="21">
        <v>0</v>
      </c>
      <c r="L14" s="78">
        <v>1</v>
      </c>
      <c r="M14" s="85" t="str">
        <f t="shared" si="2"/>
        <v>Nefakturováno</v>
      </c>
      <c r="N14" s="21">
        <f t="shared" si="3"/>
        <v>0</v>
      </c>
      <c r="O14" s="90">
        <f t="shared" si="4"/>
        <v>-100</v>
      </c>
      <c r="P14" s="39"/>
      <c r="AE14" s="21">
        <v>0</v>
      </c>
    </row>
    <row r="15" spans="1:31" ht="12.75">
      <c r="A15" s="75"/>
      <c r="B15" s="14"/>
      <c r="C15" s="14" t="s">
        <v>39</v>
      </c>
      <c r="D15" s="139" t="s">
        <v>224</v>
      </c>
      <c r="E15" s="140"/>
      <c r="F15" s="47">
        <f>SUM(F16:F18)</f>
        <v>0</v>
      </c>
      <c r="G15" s="47">
        <f>SUM(G16:G18)</f>
        <v>0</v>
      </c>
      <c r="H15" s="47">
        <f t="shared" si="0"/>
        <v>0</v>
      </c>
      <c r="I15" s="47">
        <f t="shared" si="1"/>
        <v>0</v>
      </c>
      <c r="J15" s="47">
        <f>SUM(J16:J18)</f>
        <v>32.9</v>
      </c>
      <c r="K15" s="47">
        <f>SUM(K16:K18)</f>
        <v>0</v>
      </c>
      <c r="L15" s="83">
        <f>J15-K15</f>
        <v>32.9</v>
      </c>
      <c r="M15" s="86" t="str">
        <f t="shared" si="2"/>
        <v>Nefakturováno</v>
      </c>
      <c r="N15" s="47">
        <f t="shared" si="3"/>
        <v>0</v>
      </c>
      <c r="O15" s="91">
        <f t="shared" si="4"/>
        <v>-100</v>
      </c>
      <c r="P15" s="39"/>
      <c r="AE15" s="21">
        <v>0</v>
      </c>
    </row>
    <row r="16" spans="1:31" ht="12.75">
      <c r="A16" s="4" t="s">
        <v>9</v>
      </c>
      <c r="B16" s="13"/>
      <c r="C16" s="13" t="s">
        <v>108</v>
      </c>
      <c r="D16" s="137" t="s">
        <v>225</v>
      </c>
      <c r="E16" s="138"/>
      <c r="F16" s="21">
        <f>'Stavební rozpočet'!K17</f>
        <v>0</v>
      </c>
      <c r="G16" s="21">
        <v>0</v>
      </c>
      <c r="H16" s="21">
        <f t="shared" si="0"/>
        <v>0</v>
      </c>
      <c r="I16" s="21">
        <f t="shared" si="1"/>
        <v>0</v>
      </c>
      <c r="J16" s="21">
        <f>'Stavební rozpočet'!G17</f>
        <v>28.41</v>
      </c>
      <c r="K16" s="21">
        <v>0</v>
      </c>
      <c r="L16" s="78">
        <v>28.41</v>
      </c>
      <c r="M16" s="85" t="str">
        <f t="shared" si="2"/>
        <v>Nefakturováno</v>
      </c>
      <c r="N16" s="21">
        <f t="shared" si="3"/>
        <v>0</v>
      </c>
      <c r="O16" s="90">
        <f t="shared" si="4"/>
        <v>-100</v>
      </c>
      <c r="P16" s="39"/>
      <c r="AE16" s="21">
        <v>0</v>
      </c>
    </row>
    <row r="17" spans="1:31" ht="12.75">
      <c r="A17" s="4" t="s">
        <v>10</v>
      </c>
      <c r="B17" s="13"/>
      <c r="C17" s="13" t="s">
        <v>109</v>
      </c>
      <c r="D17" s="137" t="s">
        <v>226</v>
      </c>
      <c r="E17" s="138"/>
      <c r="F17" s="21">
        <f>'Stavební rozpočet'!K18</f>
        <v>0</v>
      </c>
      <c r="G17" s="21">
        <v>0</v>
      </c>
      <c r="H17" s="21">
        <f t="shared" si="0"/>
        <v>0</v>
      </c>
      <c r="I17" s="21">
        <f t="shared" si="1"/>
        <v>0</v>
      </c>
      <c r="J17" s="21">
        <f>'Stavební rozpočet'!G18</f>
        <v>2.81</v>
      </c>
      <c r="K17" s="21">
        <v>0</v>
      </c>
      <c r="L17" s="78">
        <v>2.81</v>
      </c>
      <c r="M17" s="85" t="str">
        <f t="shared" si="2"/>
        <v>Nefakturováno</v>
      </c>
      <c r="N17" s="21">
        <f t="shared" si="3"/>
        <v>0</v>
      </c>
      <c r="O17" s="90">
        <f t="shared" si="4"/>
        <v>-100</v>
      </c>
      <c r="P17" s="39"/>
      <c r="AE17" s="21">
        <v>0</v>
      </c>
    </row>
    <row r="18" spans="1:31" ht="12.75">
      <c r="A18" s="4" t="s">
        <v>11</v>
      </c>
      <c r="B18" s="13"/>
      <c r="C18" s="13" t="s">
        <v>110</v>
      </c>
      <c r="D18" s="137" t="s">
        <v>227</v>
      </c>
      <c r="E18" s="138"/>
      <c r="F18" s="21">
        <f>'Stavební rozpočet'!K19</f>
        <v>0</v>
      </c>
      <c r="G18" s="21">
        <v>0</v>
      </c>
      <c r="H18" s="21">
        <f t="shared" si="0"/>
        <v>0</v>
      </c>
      <c r="I18" s="21">
        <f t="shared" si="1"/>
        <v>0</v>
      </c>
      <c r="J18" s="21">
        <f>'Stavební rozpočet'!G19</f>
        <v>1.68</v>
      </c>
      <c r="K18" s="21">
        <v>0</v>
      </c>
      <c r="L18" s="78">
        <v>1.68</v>
      </c>
      <c r="M18" s="85" t="str">
        <f t="shared" si="2"/>
        <v>Nefakturováno</v>
      </c>
      <c r="N18" s="21">
        <f t="shared" si="3"/>
        <v>0</v>
      </c>
      <c r="O18" s="90">
        <f t="shared" si="4"/>
        <v>-100</v>
      </c>
      <c r="P18" s="39"/>
      <c r="AE18" s="21">
        <v>0</v>
      </c>
    </row>
    <row r="19" spans="1:31" ht="12.75">
      <c r="A19" s="75"/>
      <c r="B19" s="14"/>
      <c r="C19" s="14" t="s">
        <v>46</v>
      </c>
      <c r="D19" s="139" t="s">
        <v>228</v>
      </c>
      <c r="E19" s="140"/>
      <c r="F19" s="47">
        <f>SUM(F20:F21)</f>
        <v>0</v>
      </c>
      <c r="G19" s="47">
        <f>SUM(G20:G21)</f>
        <v>0</v>
      </c>
      <c r="H19" s="47">
        <f t="shared" si="0"/>
        <v>0</v>
      </c>
      <c r="I19" s="47">
        <f t="shared" si="1"/>
        <v>0</v>
      </c>
      <c r="J19" s="47">
        <f>SUM(J20:J21)</f>
        <v>3.84</v>
      </c>
      <c r="K19" s="47">
        <f>SUM(K20:K21)</f>
        <v>0</v>
      </c>
      <c r="L19" s="83">
        <f>J19-K19</f>
        <v>3.84</v>
      </c>
      <c r="M19" s="86" t="str">
        <f t="shared" si="2"/>
        <v>Nefakturováno</v>
      </c>
      <c r="N19" s="47">
        <f t="shared" si="3"/>
        <v>0</v>
      </c>
      <c r="O19" s="91">
        <f t="shared" si="4"/>
        <v>-100</v>
      </c>
      <c r="P19" s="39"/>
      <c r="AE19" s="21">
        <v>0</v>
      </c>
    </row>
    <row r="20" spans="1:31" ht="12.75">
      <c r="A20" s="4" t="s">
        <v>12</v>
      </c>
      <c r="B20" s="13"/>
      <c r="C20" s="13" t="s">
        <v>111</v>
      </c>
      <c r="D20" s="137" t="s">
        <v>229</v>
      </c>
      <c r="E20" s="138"/>
      <c r="F20" s="21">
        <f>'Stavební rozpočet'!K21</f>
        <v>0</v>
      </c>
      <c r="G20" s="21">
        <v>0</v>
      </c>
      <c r="H20" s="21">
        <f t="shared" si="0"/>
        <v>0</v>
      </c>
      <c r="I20" s="21">
        <f t="shared" si="1"/>
        <v>0</v>
      </c>
      <c r="J20" s="21">
        <f>'Stavební rozpočet'!G21</f>
        <v>1.92</v>
      </c>
      <c r="K20" s="21">
        <v>0</v>
      </c>
      <c r="L20" s="78">
        <v>1.92</v>
      </c>
      <c r="M20" s="85" t="str">
        <f t="shared" si="2"/>
        <v>Nefakturováno</v>
      </c>
      <c r="N20" s="21">
        <f t="shared" si="3"/>
        <v>0</v>
      </c>
      <c r="O20" s="90">
        <f t="shared" si="4"/>
        <v>-100</v>
      </c>
      <c r="P20" s="39"/>
      <c r="AE20" s="21">
        <v>0</v>
      </c>
    </row>
    <row r="21" spans="1:31" ht="12.75">
      <c r="A21" s="4" t="s">
        <v>13</v>
      </c>
      <c r="B21" s="13"/>
      <c r="C21" s="13" t="s">
        <v>112</v>
      </c>
      <c r="D21" s="137" t="s">
        <v>230</v>
      </c>
      <c r="E21" s="138"/>
      <c r="F21" s="21">
        <f>'Stavební rozpočet'!K22</f>
        <v>0</v>
      </c>
      <c r="G21" s="21">
        <v>0</v>
      </c>
      <c r="H21" s="21">
        <f t="shared" si="0"/>
        <v>0</v>
      </c>
      <c r="I21" s="21">
        <f t="shared" si="1"/>
        <v>0</v>
      </c>
      <c r="J21" s="21">
        <f>'Stavební rozpočet'!G22</f>
        <v>1.92</v>
      </c>
      <c r="K21" s="21">
        <v>0</v>
      </c>
      <c r="L21" s="78">
        <v>1.92</v>
      </c>
      <c r="M21" s="85" t="str">
        <f t="shared" si="2"/>
        <v>Nefakturováno</v>
      </c>
      <c r="N21" s="21">
        <f t="shared" si="3"/>
        <v>0</v>
      </c>
      <c r="O21" s="90">
        <f t="shared" si="4"/>
        <v>-100</v>
      </c>
      <c r="P21" s="39"/>
      <c r="AE21" s="21">
        <v>0</v>
      </c>
    </row>
    <row r="22" spans="1:31" ht="12.75">
      <c r="A22" s="75"/>
      <c r="B22" s="14"/>
      <c r="C22" s="14" t="s">
        <v>66</v>
      </c>
      <c r="D22" s="139" t="s">
        <v>231</v>
      </c>
      <c r="E22" s="140"/>
      <c r="F22" s="47">
        <f>SUM(F23:F26)</f>
        <v>0</v>
      </c>
      <c r="G22" s="47">
        <f>SUM(G23:G26)</f>
        <v>0</v>
      </c>
      <c r="H22" s="47">
        <f t="shared" si="0"/>
        <v>0</v>
      </c>
      <c r="I22" s="47">
        <f t="shared" si="1"/>
        <v>0</v>
      </c>
      <c r="J22" s="47">
        <f>SUM(J23:J26)</f>
        <v>181.64</v>
      </c>
      <c r="K22" s="47">
        <f>SUM(K23:K26)</f>
        <v>0</v>
      </c>
      <c r="L22" s="83">
        <f>J22-K22</f>
        <v>181.64</v>
      </c>
      <c r="M22" s="86" t="str">
        <f t="shared" si="2"/>
        <v>Nefakturováno</v>
      </c>
      <c r="N22" s="47">
        <f t="shared" si="3"/>
        <v>0</v>
      </c>
      <c r="O22" s="91">
        <f t="shared" si="4"/>
        <v>-100</v>
      </c>
      <c r="P22" s="39"/>
      <c r="AE22" s="21">
        <v>0</v>
      </c>
    </row>
    <row r="23" spans="1:31" ht="12.75">
      <c r="A23" s="4" t="s">
        <v>14</v>
      </c>
      <c r="B23" s="13"/>
      <c r="C23" s="13" t="s">
        <v>113</v>
      </c>
      <c r="D23" s="137" t="s">
        <v>232</v>
      </c>
      <c r="E23" s="138"/>
      <c r="F23" s="21">
        <f>'Stavební rozpočet'!K24</f>
        <v>0</v>
      </c>
      <c r="G23" s="21">
        <v>0</v>
      </c>
      <c r="H23" s="21">
        <f t="shared" si="0"/>
        <v>0</v>
      </c>
      <c r="I23" s="21">
        <f t="shared" si="1"/>
        <v>0</v>
      </c>
      <c r="J23" s="21">
        <f>'Stavební rozpočet'!G24</f>
        <v>56.82</v>
      </c>
      <c r="K23" s="21">
        <v>0</v>
      </c>
      <c r="L23" s="78">
        <v>56.82</v>
      </c>
      <c r="M23" s="85" t="str">
        <f t="shared" si="2"/>
        <v>Nefakturováno</v>
      </c>
      <c r="N23" s="21">
        <f t="shared" si="3"/>
        <v>0</v>
      </c>
      <c r="O23" s="90">
        <f t="shared" si="4"/>
        <v>-100</v>
      </c>
      <c r="P23" s="39"/>
      <c r="AE23" s="21">
        <v>0</v>
      </c>
    </row>
    <row r="24" spans="1:31" ht="12.75">
      <c r="A24" s="4" t="s">
        <v>15</v>
      </c>
      <c r="B24" s="13"/>
      <c r="C24" s="13" t="s">
        <v>114</v>
      </c>
      <c r="D24" s="137" t="s">
        <v>233</v>
      </c>
      <c r="E24" s="138"/>
      <c r="F24" s="21">
        <f>'Stavební rozpočet'!K25</f>
        <v>0</v>
      </c>
      <c r="G24" s="21">
        <v>0</v>
      </c>
      <c r="H24" s="21">
        <f t="shared" si="0"/>
        <v>0</v>
      </c>
      <c r="I24" s="21">
        <f t="shared" si="1"/>
        <v>0</v>
      </c>
      <c r="J24" s="21">
        <f>'Stavební rozpočet'!G25</f>
        <v>56.82</v>
      </c>
      <c r="K24" s="21">
        <v>0</v>
      </c>
      <c r="L24" s="78">
        <v>56.82</v>
      </c>
      <c r="M24" s="85" t="str">
        <f t="shared" si="2"/>
        <v>Nefakturováno</v>
      </c>
      <c r="N24" s="21">
        <f t="shared" si="3"/>
        <v>0</v>
      </c>
      <c r="O24" s="90">
        <f t="shared" si="4"/>
        <v>-100</v>
      </c>
      <c r="P24" s="39"/>
      <c r="AE24" s="21">
        <v>0</v>
      </c>
    </row>
    <row r="25" spans="1:31" ht="12.75">
      <c r="A25" s="4" t="s">
        <v>16</v>
      </c>
      <c r="B25" s="13"/>
      <c r="C25" s="13" t="s">
        <v>115</v>
      </c>
      <c r="D25" s="137" t="s">
        <v>234</v>
      </c>
      <c r="E25" s="138"/>
      <c r="F25" s="21">
        <f>'Stavební rozpočet'!K26</f>
        <v>0</v>
      </c>
      <c r="G25" s="21">
        <v>0</v>
      </c>
      <c r="H25" s="21">
        <f t="shared" si="0"/>
        <v>0</v>
      </c>
      <c r="I25" s="21">
        <f t="shared" si="1"/>
        <v>0</v>
      </c>
      <c r="J25" s="21">
        <f>'Stavební rozpočet'!G26</f>
        <v>22</v>
      </c>
      <c r="K25" s="21">
        <v>0</v>
      </c>
      <c r="L25" s="78">
        <v>22</v>
      </c>
      <c r="M25" s="85" t="str">
        <f t="shared" si="2"/>
        <v>Nefakturováno</v>
      </c>
      <c r="N25" s="21">
        <f t="shared" si="3"/>
        <v>0</v>
      </c>
      <c r="O25" s="90">
        <f t="shared" si="4"/>
        <v>-100</v>
      </c>
      <c r="P25" s="39"/>
      <c r="AE25" s="21">
        <v>0</v>
      </c>
    </row>
    <row r="26" spans="1:31" ht="12.75">
      <c r="A26" s="4" t="s">
        <v>17</v>
      </c>
      <c r="B26" s="13"/>
      <c r="C26" s="13" t="s">
        <v>116</v>
      </c>
      <c r="D26" s="137" t="s">
        <v>235</v>
      </c>
      <c r="E26" s="138"/>
      <c r="F26" s="21">
        <f>'Stavební rozpočet'!K27</f>
        <v>0</v>
      </c>
      <c r="G26" s="21">
        <v>0</v>
      </c>
      <c r="H26" s="21">
        <f t="shared" si="0"/>
        <v>0</v>
      </c>
      <c r="I26" s="21">
        <f t="shared" si="1"/>
        <v>0</v>
      </c>
      <c r="J26" s="21">
        <f>'Stavební rozpočet'!G27</f>
        <v>46</v>
      </c>
      <c r="K26" s="21">
        <v>0</v>
      </c>
      <c r="L26" s="78">
        <v>46</v>
      </c>
      <c r="M26" s="85" t="str">
        <f t="shared" si="2"/>
        <v>Nefakturováno</v>
      </c>
      <c r="N26" s="21">
        <f t="shared" si="3"/>
        <v>0</v>
      </c>
      <c r="O26" s="90">
        <f t="shared" si="4"/>
        <v>-100</v>
      </c>
      <c r="P26" s="39"/>
      <c r="AE26" s="21">
        <v>0</v>
      </c>
    </row>
    <row r="27" spans="1:31" ht="12.75">
      <c r="A27" s="75"/>
      <c r="B27" s="14"/>
      <c r="C27" s="14" t="s">
        <v>68</v>
      </c>
      <c r="D27" s="139" t="s">
        <v>236</v>
      </c>
      <c r="E27" s="140"/>
      <c r="F27" s="47">
        <f>SUM(F28:F28)</f>
        <v>0</v>
      </c>
      <c r="G27" s="47">
        <f>SUM(G28:G28)</f>
        <v>0</v>
      </c>
      <c r="H27" s="47">
        <f t="shared" si="0"/>
        <v>0</v>
      </c>
      <c r="I27" s="47">
        <f t="shared" si="1"/>
        <v>0</v>
      </c>
      <c r="J27" s="47">
        <f>SUM(J28:J28)</f>
        <v>57.67</v>
      </c>
      <c r="K27" s="47">
        <f>SUM(K28:K28)</f>
        <v>0</v>
      </c>
      <c r="L27" s="83">
        <f>J27-K27</f>
        <v>57.67</v>
      </c>
      <c r="M27" s="86" t="str">
        <f t="shared" si="2"/>
        <v>Nefakturováno</v>
      </c>
      <c r="N27" s="47">
        <f t="shared" si="3"/>
        <v>0</v>
      </c>
      <c r="O27" s="91">
        <f t="shared" si="4"/>
        <v>-100</v>
      </c>
      <c r="P27" s="39"/>
      <c r="AE27" s="21">
        <v>0</v>
      </c>
    </row>
    <row r="28" spans="1:31" ht="12.75">
      <c r="A28" s="4" t="s">
        <v>18</v>
      </c>
      <c r="B28" s="13"/>
      <c r="C28" s="13" t="s">
        <v>117</v>
      </c>
      <c r="D28" s="137" t="s">
        <v>237</v>
      </c>
      <c r="E28" s="138"/>
      <c r="F28" s="21">
        <f>'Stavební rozpočet'!K29</f>
        <v>0</v>
      </c>
      <c r="G28" s="21">
        <v>0</v>
      </c>
      <c r="H28" s="21">
        <f t="shared" si="0"/>
        <v>0</v>
      </c>
      <c r="I28" s="21">
        <f t="shared" si="1"/>
        <v>0</v>
      </c>
      <c r="J28" s="21">
        <f>'Stavební rozpočet'!G29</f>
        <v>57.67</v>
      </c>
      <c r="K28" s="21">
        <v>0</v>
      </c>
      <c r="L28" s="78">
        <v>57.67</v>
      </c>
      <c r="M28" s="85" t="str">
        <f t="shared" si="2"/>
        <v>Nefakturováno</v>
      </c>
      <c r="N28" s="21">
        <f t="shared" si="3"/>
        <v>0</v>
      </c>
      <c r="O28" s="90">
        <f t="shared" si="4"/>
        <v>-100</v>
      </c>
      <c r="P28" s="39"/>
      <c r="AE28" s="21">
        <v>0</v>
      </c>
    </row>
    <row r="29" spans="1:31" ht="12.75">
      <c r="A29" s="75"/>
      <c r="B29" s="14"/>
      <c r="C29" s="14" t="s">
        <v>118</v>
      </c>
      <c r="D29" s="139" t="s">
        <v>238</v>
      </c>
      <c r="E29" s="140"/>
      <c r="F29" s="47">
        <f>SUM(F30:F37)</f>
        <v>0</v>
      </c>
      <c r="G29" s="47">
        <f>SUM(G30:G37)</f>
        <v>0</v>
      </c>
      <c r="H29" s="47">
        <f t="shared" si="0"/>
        <v>0</v>
      </c>
      <c r="I29" s="47">
        <f t="shared" si="1"/>
        <v>0</v>
      </c>
      <c r="J29" s="47">
        <f>SUM(J30:J37)</f>
        <v>24</v>
      </c>
      <c r="K29" s="47">
        <f>SUM(K30:K37)</f>
        <v>0</v>
      </c>
      <c r="L29" s="83">
        <f>J29-K29</f>
        <v>24</v>
      </c>
      <c r="M29" s="86" t="str">
        <f t="shared" si="2"/>
        <v>Nefakturováno</v>
      </c>
      <c r="N29" s="47">
        <f t="shared" si="3"/>
        <v>0</v>
      </c>
      <c r="O29" s="91">
        <f t="shared" si="4"/>
        <v>-100</v>
      </c>
      <c r="P29" s="39"/>
      <c r="AE29" s="21">
        <v>0</v>
      </c>
    </row>
    <row r="30" spans="1:31" ht="12.75">
      <c r="A30" s="4" t="s">
        <v>19</v>
      </c>
      <c r="B30" s="13"/>
      <c r="C30" s="13" t="s">
        <v>119</v>
      </c>
      <c r="D30" s="137" t="s">
        <v>239</v>
      </c>
      <c r="E30" s="138"/>
      <c r="F30" s="21">
        <f>'Stavební rozpočet'!K31</f>
        <v>0</v>
      </c>
      <c r="G30" s="21">
        <v>0</v>
      </c>
      <c r="H30" s="21">
        <f t="shared" si="0"/>
        <v>0</v>
      </c>
      <c r="I30" s="21">
        <f t="shared" si="1"/>
        <v>0</v>
      </c>
      <c r="J30" s="21">
        <f>'Stavební rozpočet'!G31</f>
        <v>4.5</v>
      </c>
      <c r="K30" s="21">
        <v>0</v>
      </c>
      <c r="L30" s="78">
        <v>4.5</v>
      </c>
      <c r="M30" s="85" t="str">
        <f t="shared" si="2"/>
        <v>Nefakturováno</v>
      </c>
      <c r="N30" s="21">
        <f t="shared" si="3"/>
        <v>0</v>
      </c>
      <c r="O30" s="90">
        <f t="shared" si="4"/>
        <v>-100</v>
      </c>
      <c r="P30" s="39"/>
      <c r="AE30" s="21">
        <v>0</v>
      </c>
    </row>
    <row r="31" spans="1:31" ht="12.75">
      <c r="A31" s="4" t="s">
        <v>20</v>
      </c>
      <c r="B31" s="13"/>
      <c r="C31" s="13" t="s">
        <v>120</v>
      </c>
      <c r="D31" s="137" t="s">
        <v>240</v>
      </c>
      <c r="E31" s="138"/>
      <c r="F31" s="21">
        <f>'Stavební rozpočet'!K32</f>
        <v>0</v>
      </c>
      <c r="G31" s="21">
        <v>0</v>
      </c>
      <c r="H31" s="21">
        <f t="shared" si="0"/>
        <v>0</v>
      </c>
      <c r="I31" s="21">
        <f t="shared" si="1"/>
        <v>0</v>
      </c>
      <c r="J31" s="21">
        <f>'Stavební rozpočet'!G32</f>
        <v>1.5</v>
      </c>
      <c r="K31" s="21">
        <v>0</v>
      </c>
      <c r="L31" s="78">
        <v>1.5</v>
      </c>
      <c r="M31" s="85" t="str">
        <f t="shared" si="2"/>
        <v>Nefakturováno</v>
      </c>
      <c r="N31" s="21">
        <f t="shared" si="3"/>
        <v>0</v>
      </c>
      <c r="O31" s="90">
        <f t="shared" si="4"/>
        <v>-100</v>
      </c>
      <c r="P31" s="39"/>
      <c r="AE31" s="21">
        <v>0</v>
      </c>
    </row>
    <row r="32" spans="1:31" ht="12.75">
      <c r="A32" s="4" t="s">
        <v>21</v>
      </c>
      <c r="B32" s="13"/>
      <c r="C32" s="13" t="s">
        <v>121</v>
      </c>
      <c r="D32" s="137" t="s">
        <v>241</v>
      </c>
      <c r="E32" s="138"/>
      <c r="F32" s="21">
        <f>'Stavební rozpočet'!K33</f>
        <v>0</v>
      </c>
      <c r="G32" s="21">
        <v>0</v>
      </c>
      <c r="H32" s="21">
        <f t="shared" si="0"/>
        <v>0</v>
      </c>
      <c r="I32" s="21">
        <f t="shared" si="1"/>
        <v>0</v>
      </c>
      <c r="J32" s="21">
        <f>'Stavební rozpočet'!G33</f>
        <v>2</v>
      </c>
      <c r="K32" s="21">
        <v>0</v>
      </c>
      <c r="L32" s="78">
        <v>2</v>
      </c>
      <c r="M32" s="85" t="str">
        <f t="shared" si="2"/>
        <v>Nefakturováno</v>
      </c>
      <c r="N32" s="21">
        <f t="shared" si="3"/>
        <v>0</v>
      </c>
      <c r="O32" s="90">
        <f t="shared" si="4"/>
        <v>-100</v>
      </c>
      <c r="P32" s="39"/>
      <c r="AE32" s="21">
        <v>0</v>
      </c>
    </row>
    <row r="33" spans="1:31" ht="12.75">
      <c r="A33" s="4" t="s">
        <v>22</v>
      </c>
      <c r="B33" s="13"/>
      <c r="C33" s="13" t="s">
        <v>122</v>
      </c>
      <c r="D33" s="137" t="s">
        <v>242</v>
      </c>
      <c r="E33" s="138"/>
      <c r="F33" s="21">
        <f>'Stavební rozpočet'!K34</f>
        <v>0</v>
      </c>
      <c r="G33" s="21">
        <v>0</v>
      </c>
      <c r="H33" s="21">
        <f t="shared" si="0"/>
        <v>0</v>
      </c>
      <c r="I33" s="21">
        <f t="shared" si="1"/>
        <v>0</v>
      </c>
      <c r="J33" s="21">
        <f>'Stavební rozpočet'!G34</f>
        <v>6</v>
      </c>
      <c r="K33" s="21">
        <v>0</v>
      </c>
      <c r="L33" s="78">
        <v>6</v>
      </c>
      <c r="M33" s="85" t="str">
        <f t="shared" si="2"/>
        <v>Nefakturováno</v>
      </c>
      <c r="N33" s="21">
        <f t="shared" si="3"/>
        <v>0</v>
      </c>
      <c r="O33" s="90">
        <f t="shared" si="4"/>
        <v>-100</v>
      </c>
      <c r="P33" s="39"/>
      <c r="AE33" s="21">
        <v>0</v>
      </c>
    </row>
    <row r="34" spans="1:31" ht="12.75">
      <c r="A34" s="4" t="s">
        <v>23</v>
      </c>
      <c r="B34" s="13"/>
      <c r="C34" s="13" t="s">
        <v>123</v>
      </c>
      <c r="D34" s="137" t="s">
        <v>243</v>
      </c>
      <c r="E34" s="138"/>
      <c r="F34" s="21">
        <f>'Stavební rozpočet'!K35</f>
        <v>0</v>
      </c>
      <c r="G34" s="21">
        <v>0</v>
      </c>
      <c r="H34" s="21">
        <f t="shared" si="0"/>
        <v>0</v>
      </c>
      <c r="I34" s="21">
        <f t="shared" si="1"/>
        <v>0</v>
      </c>
      <c r="J34" s="21">
        <f>'Stavební rozpočet'!G35</f>
        <v>1</v>
      </c>
      <c r="K34" s="21">
        <v>0</v>
      </c>
      <c r="L34" s="78">
        <v>1</v>
      </c>
      <c r="M34" s="85" t="str">
        <f t="shared" si="2"/>
        <v>Nefakturováno</v>
      </c>
      <c r="N34" s="21">
        <f t="shared" si="3"/>
        <v>0</v>
      </c>
      <c r="O34" s="90">
        <f t="shared" si="4"/>
        <v>-100</v>
      </c>
      <c r="P34" s="39"/>
      <c r="AE34" s="21">
        <v>0</v>
      </c>
    </row>
    <row r="35" spans="1:31" ht="12.75">
      <c r="A35" s="4" t="s">
        <v>24</v>
      </c>
      <c r="B35" s="13"/>
      <c r="C35" s="13" t="s">
        <v>124</v>
      </c>
      <c r="D35" s="137" t="s">
        <v>244</v>
      </c>
      <c r="E35" s="138"/>
      <c r="F35" s="21">
        <f>'Stavební rozpočet'!K36</f>
        <v>0</v>
      </c>
      <c r="G35" s="21">
        <v>0</v>
      </c>
      <c r="H35" s="21">
        <f t="shared" si="0"/>
        <v>0</v>
      </c>
      <c r="I35" s="21">
        <f t="shared" si="1"/>
        <v>0</v>
      </c>
      <c r="J35" s="21">
        <f>'Stavební rozpočet'!G36</f>
        <v>1</v>
      </c>
      <c r="K35" s="21">
        <v>0</v>
      </c>
      <c r="L35" s="78">
        <v>1</v>
      </c>
      <c r="M35" s="85" t="str">
        <f t="shared" si="2"/>
        <v>Nefakturováno</v>
      </c>
      <c r="N35" s="21">
        <f t="shared" si="3"/>
        <v>0</v>
      </c>
      <c r="O35" s="90">
        <f t="shared" si="4"/>
        <v>-100</v>
      </c>
      <c r="P35" s="39"/>
      <c r="AE35" s="21">
        <v>0</v>
      </c>
    </row>
    <row r="36" spans="1:31" ht="12.75">
      <c r="A36" s="4" t="s">
        <v>25</v>
      </c>
      <c r="B36" s="13"/>
      <c r="C36" s="13" t="s">
        <v>125</v>
      </c>
      <c r="D36" s="137" t="s">
        <v>245</v>
      </c>
      <c r="E36" s="138"/>
      <c r="F36" s="21">
        <f>'Stavební rozpočet'!K37</f>
        <v>0</v>
      </c>
      <c r="G36" s="21">
        <v>0</v>
      </c>
      <c r="H36" s="21">
        <f t="shared" si="0"/>
        <v>0</v>
      </c>
      <c r="I36" s="21">
        <f t="shared" si="1"/>
        <v>0</v>
      </c>
      <c r="J36" s="21">
        <f>'Stavební rozpočet'!G37</f>
        <v>2</v>
      </c>
      <c r="K36" s="21">
        <v>0</v>
      </c>
      <c r="L36" s="78">
        <v>2</v>
      </c>
      <c r="M36" s="85" t="str">
        <f t="shared" si="2"/>
        <v>Nefakturováno</v>
      </c>
      <c r="N36" s="21">
        <f t="shared" si="3"/>
        <v>0</v>
      </c>
      <c r="O36" s="90">
        <f t="shared" si="4"/>
        <v>-100</v>
      </c>
      <c r="P36" s="39"/>
      <c r="AE36" s="21">
        <v>0</v>
      </c>
    </row>
    <row r="37" spans="1:31" ht="12.75">
      <c r="A37" s="4" t="s">
        <v>26</v>
      </c>
      <c r="B37" s="13"/>
      <c r="C37" s="13" t="s">
        <v>126</v>
      </c>
      <c r="D37" s="137" t="s">
        <v>246</v>
      </c>
      <c r="E37" s="138"/>
      <c r="F37" s="21">
        <f>'Stavební rozpočet'!K38</f>
        <v>0</v>
      </c>
      <c r="G37" s="21">
        <v>0</v>
      </c>
      <c r="H37" s="21">
        <f t="shared" si="0"/>
        <v>0</v>
      </c>
      <c r="I37" s="21">
        <f t="shared" si="1"/>
        <v>0</v>
      </c>
      <c r="J37" s="21">
        <f>'Stavební rozpočet'!G38</f>
        <v>6</v>
      </c>
      <c r="K37" s="21">
        <v>0</v>
      </c>
      <c r="L37" s="78">
        <v>6</v>
      </c>
      <c r="M37" s="85" t="str">
        <f t="shared" si="2"/>
        <v>Nefakturováno</v>
      </c>
      <c r="N37" s="21">
        <f t="shared" si="3"/>
        <v>0</v>
      </c>
      <c r="O37" s="90">
        <f t="shared" si="4"/>
        <v>-100</v>
      </c>
      <c r="P37" s="39"/>
      <c r="AE37" s="21">
        <v>0</v>
      </c>
    </row>
    <row r="38" spans="1:31" ht="12.75">
      <c r="A38" s="75"/>
      <c r="B38" s="14"/>
      <c r="C38" s="14" t="s">
        <v>127</v>
      </c>
      <c r="D38" s="139" t="s">
        <v>247</v>
      </c>
      <c r="E38" s="140"/>
      <c r="F38" s="47">
        <f>SUM(F39:F48)</f>
        <v>0</v>
      </c>
      <c r="G38" s="47">
        <f>SUM(G39:G48)</f>
        <v>0</v>
      </c>
      <c r="H38" s="47">
        <f t="shared" si="0"/>
        <v>0</v>
      </c>
      <c r="I38" s="47">
        <f t="shared" si="1"/>
        <v>0</v>
      </c>
      <c r="J38" s="47">
        <f>SUM(J39:J48)</f>
        <v>71</v>
      </c>
      <c r="K38" s="47">
        <f>SUM(K39:K48)</f>
        <v>0</v>
      </c>
      <c r="L38" s="83">
        <f>J38-K38</f>
        <v>71</v>
      </c>
      <c r="M38" s="86" t="str">
        <f t="shared" si="2"/>
        <v>Nefakturováno</v>
      </c>
      <c r="N38" s="47">
        <f t="shared" si="3"/>
        <v>0</v>
      </c>
      <c r="O38" s="91">
        <f t="shared" si="4"/>
        <v>-100</v>
      </c>
      <c r="P38" s="39"/>
      <c r="AE38" s="21">
        <v>0</v>
      </c>
    </row>
    <row r="39" spans="1:31" ht="12.75">
      <c r="A39" s="4" t="s">
        <v>27</v>
      </c>
      <c r="B39" s="13"/>
      <c r="C39" s="13" t="s">
        <v>128</v>
      </c>
      <c r="D39" s="137" t="s">
        <v>248</v>
      </c>
      <c r="E39" s="138"/>
      <c r="F39" s="21">
        <f>'Stavební rozpočet'!K40</f>
        <v>0</v>
      </c>
      <c r="G39" s="21">
        <v>0</v>
      </c>
      <c r="H39" s="21">
        <f t="shared" si="0"/>
        <v>0</v>
      </c>
      <c r="I39" s="21">
        <f t="shared" si="1"/>
        <v>0</v>
      </c>
      <c r="J39" s="21">
        <f>'Stavební rozpočet'!G40</f>
        <v>12</v>
      </c>
      <c r="K39" s="21">
        <v>0</v>
      </c>
      <c r="L39" s="78">
        <v>12</v>
      </c>
      <c r="M39" s="85" t="str">
        <f t="shared" si="2"/>
        <v>Nefakturováno</v>
      </c>
      <c r="N39" s="21">
        <f t="shared" si="3"/>
        <v>0</v>
      </c>
      <c r="O39" s="90">
        <f t="shared" si="4"/>
        <v>-100</v>
      </c>
      <c r="P39" s="39"/>
      <c r="AE39" s="21">
        <v>0</v>
      </c>
    </row>
    <row r="40" spans="1:31" ht="12.75">
      <c r="A40" s="4" t="s">
        <v>28</v>
      </c>
      <c r="B40" s="13"/>
      <c r="C40" s="13" t="s">
        <v>129</v>
      </c>
      <c r="D40" s="137" t="s">
        <v>249</v>
      </c>
      <c r="E40" s="138"/>
      <c r="F40" s="21">
        <f>'Stavební rozpočet'!K41</f>
        <v>0</v>
      </c>
      <c r="G40" s="21">
        <v>0</v>
      </c>
      <c r="H40" s="21">
        <f t="shared" si="0"/>
        <v>0</v>
      </c>
      <c r="I40" s="21">
        <f t="shared" si="1"/>
        <v>0</v>
      </c>
      <c r="J40" s="21">
        <f>'Stavební rozpočet'!G41</f>
        <v>4</v>
      </c>
      <c r="K40" s="21">
        <v>0</v>
      </c>
      <c r="L40" s="78">
        <v>4</v>
      </c>
      <c r="M40" s="85" t="str">
        <f t="shared" si="2"/>
        <v>Nefakturováno</v>
      </c>
      <c r="N40" s="21">
        <f t="shared" si="3"/>
        <v>0</v>
      </c>
      <c r="O40" s="90">
        <f t="shared" si="4"/>
        <v>-100</v>
      </c>
      <c r="P40" s="39"/>
      <c r="AE40" s="21">
        <v>0</v>
      </c>
    </row>
    <row r="41" spans="1:31" ht="12.75">
      <c r="A41" s="4" t="s">
        <v>29</v>
      </c>
      <c r="B41" s="13"/>
      <c r="C41" s="13" t="s">
        <v>130</v>
      </c>
      <c r="D41" s="137" t="s">
        <v>250</v>
      </c>
      <c r="E41" s="138"/>
      <c r="F41" s="21">
        <f>'Stavební rozpočet'!K42</f>
        <v>0</v>
      </c>
      <c r="G41" s="21">
        <v>0</v>
      </c>
      <c r="H41" s="21">
        <f t="shared" si="0"/>
        <v>0</v>
      </c>
      <c r="I41" s="21">
        <f t="shared" si="1"/>
        <v>0</v>
      </c>
      <c r="J41" s="21">
        <f>'Stavební rozpočet'!G42</f>
        <v>4</v>
      </c>
      <c r="K41" s="21">
        <v>0</v>
      </c>
      <c r="L41" s="78">
        <v>4</v>
      </c>
      <c r="M41" s="85" t="str">
        <f t="shared" si="2"/>
        <v>Nefakturováno</v>
      </c>
      <c r="N41" s="21">
        <f t="shared" si="3"/>
        <v>0</v>
      </c>
      <c r="O41" s="90">
        <f t="shared" si="4"/>
        <v>-100</v>
      </c>
      <c r="P41" s="39"/>
      <c r="AE41" s="21">
        <v>0</v>
      </c>
    </row>
    <row r="42" spans="1:31" ht="12.75">
      <c r="A42" s="4" t="s">
        <v>30</v>
      </c>
      <c r="B42" s="13"/>
      <c r="C42" s="13" t="s">
        <v>131</v>
      </c>
      <c r="D42" s="137" t="s">
        <v>251</v>
      </c>
      <c r="E42" s="138"/>
      <c r="F42" s="21">
        <f>'Stavební rozpočet'!K43</f>
        <v>0</v>
      </c>
      <c r="G42" s="21">
        <v>0</v>
      </c>
      <c r="H42" s="21">
        <f t="shared" si="0"/>
        <v>0</v>
      </c>
      <c r="I42" s="21">
        <f t="shared" si="1"/>
        <v>0</v>
      </c>
      <c r="J42" s="21">
        <f>'Stavební rozpočet'!G43</f>
        <v>4</v>
      </c>
      <c r="K42" s="21">
        <v>0</v>
      </c>
      <c r="L42" s="78">
        <v>4</v>
      </c>
      <c r="M42" s="85" t="str">
        <f t="shared" si="2"/>
        <v>Nefakturováno</v>
      </c>
      <c r="N42" s="21">
        <f t="shared" si="3"/>
        <v>0</v>
      </c>
      <c r="O42" s="90">
        <f t="shared" si="4"/>
        <v>-100</v>
      </c>
      <c r="P42" s="39"/>
      <c r="AE42" s="21">
        <v>0</v>
      </c>
    </row>
    <row r="43" spans="1:31" ht="12.75">
      <c r="A43" s="4" t="s">
        <v>31</v>
      </c>
      <c r="B43" s="13"/>
      <c r="C43" s="13" t="s">
        <v>132</v>
      </c>
      <c r="D43" s="137" t="s">
        <v>252</v>
      </c>
      <c r="E43" s="138"/>
      <c r="F43" s="21">
        <f>'Stavební rozpočet'!K44</f>
        <v>0</v>
      </c>
      <c r="G43" s="21">
        <v>0</v>
      </c>
      <c r="H43" s="21">
        <f aca="true" t="shared" si="5" ref="H43:H74">G43-F43</f>
        <v>0</v>
      </c>
      <c r="I43" s="21">
        <f aca="true" t="shared" si="6" ref="I43:I74">IF(F43=0,0,H43/F43*100)</f>
        <v>0</v>
      </c>
      <c r="J43" s="21">
        <f>'Stavební rozpočet'!G44</f>
        <v>2</v>
      </c>
      <c r="K43" s="21">
        <v>0</v>
      </c>
      <c r="L43" s="78">
        <v>2</v>
      </c>
      <c r="M43" s="85" t="str">
        <f aca="true" t="shared" si="7" ref="M43:M74">IF(G43=0,"Nefakturováno",AE43)</f>
        <v>Nefakturováno</v>
      </c>
      <c r="N43" s="21">
        <f aca="true" t="shared" si="8" ref="N43:N74">AE43-G43</f>
        <v>0</v>
      </c>
      <c r="O43" s="90">
        <f aca="true" t="shared" si="9" ref="O43:O74">IF(G43&lt;&gt;0,N43/G43*100,-100)</f>
        <v>-100</v>
      </c>
      <c r="P43" s="39"/>
      <c r="AE43" s="21">
        <v>0</v>
      </c>
    </row>
    <row r="44" spans="1:31" ht="12.75">
      <c r="A44" s="4" t="s">
        <v>32</v>
      </c>
      <c r="B44" s="13"/>
      <c r="C44" s="13" t="s">
        <v>133</v>
      </c>
      <c r="D44" s="137" t="s">
        <v>253</v>
      </c>
      <c r="E44" s="138"/>
      <c r="F44" s="21">
        <f>'Stavební rozpočet'!K45</f>
        <v>0</v>
      </c>
      <c r="G44" s="21">
        <v>0</v>
      </c>
      <c r="H44" s="21">
        <f t="shared" si="5"/>
        <v>0</v>
      </c>
      <c r="I44" s="21">
        <f t="shared" si="6"/>
        <v>0</v>
      </c>
      <c r="J44" s="21">
        <f>'Stavební rozpočet'!G45</f>
        <v>12</v>
      </c>
      <c r="K44" s="21">
        <v>0</v>
      </c>
      <c r="L44" s="78">
        <v>12</v>
      </c>
      <c r="M44" s="85" t="str">
        <f t="shared" si="7"/>
        <v>Nefakturováno</v>
      </c>
      <c r="N44" s="21">
        <f t="shared" si="8"/>
        <v>0</v>
      </c>
      <c r="O44" s="90">
        <f t="shared" si="9"/>
        <v>-100</v>
      </c>
      <c r="P44" s="39"/>
      <c r="AE44" s="21">
        <v>0</v>
      </c>
    </row>
    <row r="45" spans="1:31" ht="12.75">
      <c r="A45" s="4" t="s">
        <v>33</v>
      </c>
      <c r="B45" s="13"/>
      <c r="C45" s="13" t="s">
        <v>134</v>
      </c>
      <c r="D45" s="137" t="s">
        <v>254</v>
      </c>
      <c r="E45" s="138"/>
      <c r="F45" s="21">
        <f>'Stavební rozpočet'!K46</f>
        <v>0</v>
      </c>
      <c r="G45" s="21">
        <v>0</v>
      </c>
      <c r="H45" s="21">
        <f t="shared" si="5"/>
        <v>0</v>
      </c>
      <c r="I45" s="21">
        <f t="shared" si="6"/>
        <v>0</v>
      </c>
      <c r="J45" s="21">
        <f>'Stavební rozpočet'!G46</f>
        <v>5</v>
      </c>
      <c r="K45" s="21">
        <v>0</v>
      </c>
      <c r="L45" s="78">
        <v>5</v>
      </c>
      <c r="M45" s="85" t="str">
        <f t="shared" si="7"/>
        <v>Nefakturováno</v>
      </c>
      <c r="N45" s="21">
        <f t="shared" si="8"/>
        <v>0</v>
      </c>
      <c r="O45" s="90">
        <f t="shared" si="9"/>
        <v>-100</v>
      </c>
      <c r="P45" s="39"/>
      <c r="AE45" s="21">
        <v>0</v>
      </c>
    </row>
    <row r="46" spans="1:31" ht="12.75">
      <c r="A46" s="4" t="s">
        <v>34</v>
      </c>
      <c r="B46" s="13"/>
      <c r="C46" s="13" t="s">
        <v>135</v>
      </c>
      <c r="D46" s="137" t="s">
        <v>255</v>
      </c>
      <c r="E46" s="138"/>
      <c r="F46" s="21">
        <f>'Stavební rozpočet'!K47</f>
        <v>0</v>
      </c>
      <c r="G46" s="21">
        <v>0</v>
      </c>
      <c r="H46" s="21">
        <f t="shared" si="5"/>
        <v>0</v>
      </c>
      <c r="I46" s="21">
        <f t="shared" si="6"/>
        <v>0</v>
      </c>
      <c r="J46" s="21">
        <f>'Stavební rozpočet'!G47</f>
        <v>2</v>
      </c>
      <c r="K46" s="21">
        <v>0</v>
      </c>
      <c r="L46" s="78">
        <v>2</v>
      </c>
      <c r="M46" s="85" t="str">
        <f t="shared" si="7"/>
        <v>Nefakturováno</v>
      </c>
      <c r="N46" s="21">
        <f t="shared" si="8"/>
        <v>0</v>
      </c>
      <c r="O46" s="90">
        <f t="shared" si="9"/>
        <v>-100</v>
      </c>
      <c r="P46" s="39"/>
      <c r="AE46" s="21">
        <v>0</v>
      </c>
    </row>
    <row r="47" spans="1:31" ht="12.75">
      <c r="A47" s="4" t="s">
        <v>35</v>
      </c>
      <c r="B47" s="13"/>
      <c r="C47" s="13" t="s">
        <v>136</v>
      </c>
      <c r="D47" s="137" t="s">
        <v>256</v>
      </c>
      <c r="E47" s="138"/>
      <c r="F47" s="21">
        <f>'Stavební rozpočet'!K48</f>
        <v>0</v>
      </c>
      <c r="G47" s="21">
        <v>0</v>
      </c>
      <c r="H47" s="21">
        <f t="shared" si="5"/>
        <v>0</v>
      </c>
      <c r="I47" s="21">
        <f t="shared" si="6"/>
        <v>0</v>
      </c>
      <c r="J47" s="21">
        <f>'Stavební rozpočet'!G48</f>
        <v>12</v>
      </c>
      <c r="K47" s="21">
        <v>0</v>
      </c>
      <c r="L47" s="78">
        <v>12</v>
      </c>
      <c r="M47" s="85" t="str">
        <f t="shared" si="7"/>
        <v>Nefakturováno</v>
      </c>
      <c r="N47" s="21">
        <f t="shared" si="8"/>
        <v>0</v>
      </c>
      <c r="O47" s="90">
        <f t="shared" si="9"/>
        <v>-100</v>
      </c>
      <c r="P47" s="39"/>
      <c r="AE47" s="21">
        <v>0</v>
      </c>
    </row>
    <row r="48" spans="1:31" ht="12.75">
      <c r="A48" s="4" t="s">
        <v>36</v>
      </c>
      <c r="B48" s="13"/>
      <c r="C48" s="13" t="s">
        <v>137</v>
      </c>
      <c r="D48" s="137" t="s">
        <v>257</v>
      </c>
      <c r="E48" s="138"/>
      <c r="F48" s="21">
        <f>'Stavební rozpočet'!K49</f>
        <v>0</v>
      </c>
      <c r="G48" s="21">
        <v>0</v>
      </c>
      <c r="H48" s="21">
        <f t="shared" si="5"/>
        <v>0</v>
      </c>
      <c r="I48" s="21">
        <f t="shared" si="6"/>
        <v>0</v>
      </c>
      <c r="J48" s="21">
        <f>'Stavební rozpočet'!G49</f>
        <v>14</v>
      </c>
      <c r="K48" s="21">
        <v>0</v>
      </c>
      <c r="L48" s="78">
        <v>14</v>
      </c>
      <c r="M48" s="85" t="str">
        <f t="shared" si="7"/>
        <v>Nefakturováno</v>
      </c>
      <c r="N48" s="21">
        <f t="shared" si="8"/>
        <v>0</v>
      </c>
      <c r="O48" s="90">
        <f t="shared" si="9"/>
        <v>-100</v>
      </c>
      <c r="P48" s="39"/>
      <c r="AE48" s="21">
        <v>0</v>
      </c>
    </row>
    <row r="49" spans="1:31" ht="12.75">
      <c r="A49" s="75"/>
      <c r="B49" s="14"/>
      <c r="C49" s="14" t="s">
        <v>138</v>
      </c>
      <c r="D49" s="139" t="s">
        <v>258</v>
      </c>
      <c r="E49" s="140"/>
      <c r="F49" s="47">
        <f>SUM(F50:F57)</f>
        <v>0</v>
      </c>
      <c r="G49" s="47">
        <f>SUM(G50:G57)</f>
        <v>0</v>
      </c>
      <c r="H49" s="47">
        <f t="shared" si="5"/>
        <v>0</v>
      </c>
      <c r="I49" s="47">
        <f t="shared" si="6"/>
        <v>0</v>
      </c>
      <c r="J49" s="47">
        <f>SUM(J50:J57)</f>
        <v>8</v>
      </c>
      <c r="K49" s="47">
        <f>SUM(K50:K57)</f>
        <v>0</v>
      </c>
      <c r="L49" s="83">
        <f>J49-K49</f>
        <v>8</v>
      </c>
      <c r="M49" s="86" t="str">
        <f t="shared" si="7"/>
        <v>Nefakturováno</v>
      </c>
      <c r="N49" s="47">
        <f t="shared" si="8"/>
        <v>0</v>
      </c>
      <c r="O49" s="91">
        <f t="shared" si="9"/>
        <v>-100</v>
      </c>
      <c r="P49" s="39"/>
      <c r="AE49" s="21">
        <v>0</v>
      </c>
    </row>
    <row r="50" spans="1:31" ht="12.75">
      <c r="A50" s="4" t="s">
        <v>37</v>
      </c>
      <c r="B50" s="13"/>
      <c r="C50" s="13" t="s">
        <v>139</v>
      </c>
      <c r="D50" s="137" t="s">
        <v>259</v>
      </c>
      <c r="E50" s="138"/>
      <c r="F50" s="21">
        <f>'Stavební rozpočet'!K51</f>
        <v>0</v>
      </c>
      <c r="G50" s="21">
        <v>0</v>
      </c>
      <c r="H50" s="21">
        <f t="shared" si="5"/>
        <v>0</v>
      </c>
      <c r="I50" s="21">
        <f t="shared" si="6"/>
        <v>0</v>
      </c>
      <c r="J50" s="21">
        <f>'Stavební rozpočet'!G51</f>
        <v>1</v>
      </c>
      <c r="K50" s="21">
        <v>0</v>
      </c>
      <c r="L50" s="78">
        <v>1</v>
      </c>
      <c r="M50" s="85" t="str">
        <f t="shared" si="7"/>
        <v>Nefakturováno</v>
      </c>
      <c r="N50" s="21">
        <f t="shared" si="8"/>
        <v>0</v>
      </c>
      <c r="O50" s="90">
        <f t="shared" si="9"/>
        <v>-100</v>
      </c>
      <c r="P50" s="39"/>
      <c r="AE50" s="21">
        <v>0</v>
      </c>
    </row>
    <row r="51" spans="1:31" ht="12.75">
      <c r="A51" s="4" t="s">
        <v>38</v>
      </c>
      <c r="B51" s="13"/>
      <c r="C51" s="13" t="s">
        <v>140</v>
      </c>
      <c r="D51" s="137" t="s">
        <v>260</v>
      </c>
      <c r="E51" s="138"/>
      <c r="F51" s="21">
        <f>'Stavební rozpočet'!K52</f>
        <v>0</v>
      </c>
      <c r="G51" s="21">
        <v>0</v>
      </c>
      <c r="H51" s="21">
        <f t="shared" si="5"/>
        <v>0</v>
      </c>
      <c r="I51" s="21">
        <f t="shared" si="6"/>
        <v>0</v>
      </c>
      <c r="J51" s="21">
        <f>'Stavební rozpočet'!G52</f>
        <v>1</v>
      </c>
      <c r="K51" s="21">
        <v>0</v>
      </c>
      <c r="L51" s="78">
        <v>1</v>
      </c>
      <c r="M51" s="85" t="str">
        <f t="shared" si="7"/>
        <v>Nefakturováno</v>
      </c>
      <c r="N51" s="21">
        <f t="shared" si="8"/>
        <v>0</v>
      </c>
      <c r="O51" s="90">
        <f t="shared" si="9"/>
        <v>-100</v>
      </c>
      <c r="P51" s="39"/>
      <c r="AE51" s="21">
        <v>0</v>
      </c>
    </row>
    <row r="52" spans="1:31" ht="12.75">
      <c r="A52" s="4" t="s">
        <v>39</v>
      </c>
      <c r="B52" s="13"/>
      <c r="C52" s="13" t="s">
        <v>141</v>
      </c>
      <c r="D52" s="137" t="s">
        <v>261</v>
      </c>
      <c r="E52" s="138"/>
      <c r="F52" s="21">
        <f>'Stavební rozpočet'!K53</f>
        <v>0</v>
      </c>
      <c r="G52" s="21">
        <v>0</v>
      </c>
      <c r="H52" s="21">
        <f t="shared" si="5"/>
        <v>0</v>
      </c>
      <c r="I52" s="21">
        <f t="shared" si="6"/>
        <v>0</v>
      </c>
      <c r="J52" s="21">
        <f>'Stavební rozpočet'!G53</f>
        <v>1</v>
      </c>
      <c r="K52" s="21">
        <v>0</v>
      </c>
      <c r="L52" s="78">
        <v>1</v>
      </c>
      <c r="M52" s="85" t="str">
        <f t="shared" si="7"/>
        <v>Nefakturováno</v>
      </c>
      <c r="N52" s="21">
        <f t="shared" si="8"/>
        <v>0</v>
      </c>
      <c r="O52" s="90">
        <f t="shared" si="9"/>
        <v>-100</v>
      </c>
      <c r="P52" s="39"/>
      <c r="AE52" s="21">
        <v>0</v>
      </c>
    </row>
    <row r="53" spans="1:31" ht="12.75">
      <c r="A53" s="4" t="s">
        <v>40</v>
      </c>
      <c r="B53" s="13"/>
      <c r="C53" s="13" t="s">
        <v>142</v>
      </c>
      <c r="D53" s="137" t="s">
        <v>262</v>
      </c>
      <c r="E53" s="138"/>
      <c r="F53" s="21">
        <f>'Stavební rozpočet'!K54</f>
        <v>0</v>
      </c>
      <c r="G53" s="21">
        <v>0</v>
      </c>
      <c r="H53" s="21">
        <f t="shared" si="5"/>
        <v>0</v>
      </c>
      <c r="I53" s="21">
        <f t="shared" si="6"/>
        <v>0</v>
      </c>
      <c r="J53" s="21">
        <f>'Stavební rozpočet'!G54</f>
        <v>1</v>
      </c>
      <c r="K53" s="21">
        <v>0</v>
      </c>
      <c r="L53" s="78">
        <v>1</v>
      </c>
      <c r="M53" s="85" t="str">
        <f t="shared" si="7"/>
        <v>Nefakturováno</v>
      </c>
      <c r="N53" s="21">
        <f t="shared" si="8"/>
        <v>0</v>
      </c>
      <c r="O53" s="90">
        <f t="shared" si="9"/>
        <v>-100</v>
      </c>
      <c r="P53" s="39"/>
      <c r="AE53" s="21">
        <v>0</v>
      </c>
    </row>
    <row r="54" spans="1:31" ht="12.75">
      <c r="A54" s="4" t="s">
        <v>41</v>
      </c>
      <c r="B54" s="13"/>
      <c r="C54" s="13" t="s">
        <v>143</v>
      </c>
      <c r="D54" s="137" t="s">
        <v>263</v>
      </c>
      <c r="E54" s="138"/>
      <c r="F54" s="21">
        <f>'Stavební rozpočet'!K55</f>
        <v>0</v>
      </c>
      <c r="G54" s="21">
        <v>0</v>
      </c>
      <c r="H54" s="21">
        <f t="shared" si="5"/>
        <v>0</v>
      </c>
      <c r="I54" s="21">
        <f t="shared" si="6"/>
        <v>0</v>
      </c>
      <c r="J54" s="21">
        <f>'Stavební rozpočet'!G55</f>
        <v>1</v>
      </c>
      <c r="K54" s="21">
        <v>0</v>
      </c>
      <c r="L54" s="78">
        <v>1</v>
      </c>
      <c r="M54" s="85" t="str">
        <f t="shared" si="7"/>
        <v>Nefakturováno</v>
      </c>
      <c r="N54" s="21">
        <f t="shared" si="8"/>
        <v>0</v>
      </c>
      <c r="O54" s="90">
        <f t="shared" si="9"/>
        <v>-100</v>
      </c>
      <c r="P54" s="39"/>
      <c r="AE54" s="21">
        <v>0</v>
      </c>
    </row>
    <row r="55" spans="1:31" ht="12.75">
      <c r="A55" s="4" t="s">
        <v>42</v>
      </c>
      <c r="B55" s="13"/>
      <c r="C55" s="13" t="s">
        <v>144</v>
      </c>
      <c r="D55" s="137" t="s">
        <v>264</v>
      </c>
      <c r="E55" s="138"/>
      <c r="F55" s="21">
        <f>'Stavební rozpočet'!K56</f>
        <v>0</v>
      </c>
      <c r="G55" s="21">
        <v>0</v>
      </c>
      <c r="H55" s="21">
        <f t="shared" si="5"/>
        <v>0</v>
      </c>
      <c r="I55" s="21">
        <f t="shared" si="6"/>
        <v>0</v>
      </c>
      <c r="J55" s="21">
        <f>'Stavební rozpočet'!G56</f>
        <v>1</v>
      </c>
      <c r="K55" s="21">
        <v>0</v>
      </c>
      <c r="L55" s="78">
        <v>1</v>
      </c>
      <c r="M55" s="85" t="str">
        <f t="shared" si="7"/>
        <v>Nefakturováno</v>
      </c>
      <c r="N55" s="21">
        <f t="shared" si="8"/>
        <v>0</v>
      </c>
      <c r="O55" s="90">
        <f t="shared" si="9"/>
        <v>-100</v>
      </c>
      <c r="P55" s="39"/>
      <c r="AE55" s="21">
        <v>0</v>
      </c>
    </row>
    <row r="56" spans="1:31" ht="12.75">
      <c r="A56" s="4" t="s">
        <v>43</v>
      </c>
      <c r="B56" s="13"/>
      <c r="C56" s="13" t="s">
        <v>145</v>
      </c>
      <c r="D56" s="137" t="s">
        <v>265</v>
      </c>
      <c r="E56" s="138"/>
      <c r="F56" s="21">
        <f>'Stavební rozpočet'!K57</f>
        <v>0</v>
      </c>
      <c r="G56" s="21">
        <v>0</v>
      </c>
      <c r="H56" s="21">
        <f t="shared" si="5"/>
        <v>0</v>
      </c>
      <c r="I56" s="21">
        <f t="shared" si="6"/>
        <v>0</v>
      </c>
      <c r="J56" s="21">
        <f>'Stavební rozpočet'!G57</f>
        <v>1</v>
      </c>
      <c r="K56" s="21">
        <v>0</v>
      </c>
      <c r="L56" s="78">
        <v>1</v>
      </c>
      <c r="M56" s="85" t="str">
        <f t="shared" si="7"/>
        <v>Nefakturováno</v>
      </c>
      <c r="N56" s="21">
        <f t="shared" si="8"/>
        <v>0</v>
      </c>
      <c r="O56" s="90">
        <f t="shared" si="9"/>
        <v>-100</v>
      </c>
      <c r="P56" s="39"/>
      <c r="AE56" s="21">
        <v>0</v>
      </c>
    </row>
    <row r="57" spans="1:31" ht="12.75">
      <c r="A57" s="4" t="s">
        <v>44</v>
      </c>
      <c r="B57" s="13"/>
      <c r="C57" s="13" t="s">
        <v>146</v>
      </c>
      <c r="D57" s="137" t="s">
        <v>266</v>
      </c>
      <c r="E57" s="138"/>
      <c r="F57" s="21">
        <f>'Stavební rozpočet'!K58</f>
        <v>0</v>
      </c>
      <c r="G57" s="21">
        <v>0</v>
      </c>
      <c r="H57" s="21">
        <f t="shared" si="5"/>
        <v>0</v>
      </c>
      <c r="I57" s="21">
        <f t="shared" si="6"/>
        <v>0</v>
      </c>
      <c r="J57" s="21">
        <f>'Stavební rozpočet'!G58</f>
        <v>1</v>
      </c>
      <c r="K57" s="21">
        <v>0</v>
      </c>
      <c r="L57" s="78">
        <v>1</v>
      </c>
      <c r="M57" s="85" t="str">
        <f t="shared" si="7"/>
        <v>Nefakturováno</v>
      </c>
      <c r="N57" s="21">
        <f t="shared" si="8"/>
        <v>0</v>
      </c>
      <c r="O57" s="90">
        <f t="shared" si="9"/>
        <v>-100</v>
      </c>
      <c r="P57" s="39"/>
      <c r="AE57" s="21">
        <v>0</v>
      </c>
    </row>
    <row r="58" spans="1:31" ht="12.75">
      <c r="A58" s="75"/>
      <c r="B58" s="14"/>
      <c r="C58" s="14" t="s">
        <v>147</v>
      </c>
      <c r="D58" s="139" t="s">
        <v>267</v>
      </c>
      <c r="E58" s="140"/>
      <c r="F58" s="47">
        <f>SUM(F59:F59)</f>
        <v>0</v>
      </c>
      <c r="G58" s="47">
        <f>SUM(G59:G59)</f>
        <v>0</v>
      </c>
      <c r="H58" s="47">
        <f t="shared" si="5"/>
        <v>0</v>
      </c>
      <c r="I58" s="47">
        <f t="shared" si="6"/>
        <v>0</v>
      </c>
      <c r="J58" s="47">
        <f>SUM(J59:J59)</f>
        <v>1</v>
      </c>
      <c r="K58" s="47">
        <f>SUM(K59:K59)</f>
        <v>0</v>
      </c>
      <c r="L58" s="83">
        <f>J58-K58</f>
        <v>1</v>
      </c>
      <c r="M58" s="86" t="str">
        <f t="shared" si="7"/>
        <v>Nefakturováno</v>
      </c>
      <c r="N58" s="47">
        <f t="shared" si="8"/>
        <v>0</v>
      </c>
      <c r="O58" s="91">
        <f t="shared" si="9"/>
        <v>-100</v>
      </c>
      <c r="P58" s="39"/>
      <c r="AE58" s="21">
        <v>0</v>
      </c>
    </row>
    <row r="59" spans="1:31" ht="12.75">
      <c r="A59" s="4" t="s">
        <v>45</v>
      </c>
      <c r="B59" s="13"/>
      <c r="C59" s="13" t="s">
        <v>148</v>
      </c>
      <c r="D59" s="137" t="s">
        <v>268</v>
      </c>
      <c r="E59" s="138"/>
      <c r="F59" s="21">
        <f>'Stavební rozpočet'!K60</f>
        <v>0</v>
      </c>
      <c r="G59" s="21">
        <v>0</v>
      </c>
      <c r="H59" s="21">
        <f t="shared" si="5"/>
        <v>0</v>
      </c>
      <c r="I59" s="21">
        <f t="shared" si="6"/>
        <v>0</v>
      </c>
      <c r="J59" s="21">
        <f>'Stavební rozpočet'!G60</f>
        <v>1</v>
      </c>
      <c r="K59" s="21">
        <v>0</v>
      </c>
      <c r="L59" s="78">
        <v>1</v>
      </c>
      <c r="M59" s="85" t="str">
        <f t="shared" si="7"/>
        <v>Nefakturováno</v>
      </c>
      <c r="N59" s="21">
        <f t="shared" si="8"/>
        <v>0</v>
      </c>
      <c r="O59" s="90">
        <f t="shared" si="9"/>
        <v>-100</v>
      </c>
      <c r="P59" s="39"/>
      <c r="AE59" s="21">
        <v>0</v>
      </c>
    </row>
    <row r="60" spans="1:31" ht="12.75">
      <c r="A60" s="75"/>
      <c r="B60" s="14"/>
      <c r="C60" s="14" t="s">
        <v>149</v>
      </c>
      <c r="D60" s="139" t="s">
        <v>269</v>
      </c>
      <c r="E60" s="140"/>
      <c r="F60" s="47">
        <f>SUM(F61:F65)</f>
        <v>0</v>
      </c>
      <c r="G60" s="47">
        <f>SUM(G61:G65)</f>
        <v>0</v>
      </c>
      <c r="H60" s="47">
        <f t="shared" si="5"/>
        <v>0</v>
      </c>
      <c r="I60" s="47">
        <f t="shared" si="6"/>
        <v>0</v>
      </c>
      <c r="J60" s="47">
        <f>SUM(J61:J65)</f>
        <v>20</v>
      </c>
      <c r="K60" s="47">
        <f>SUM(K61:K65)</f>
        <v>0</v>
      </c>
      <c r="L60" s="83">
        <f>J60-K60</f>
        <v>20</v>
      </c>
      <c r="M60" s="86" t="str">
        <f t="shared" si="7"/>
        <v>Nefakturováno</v>
      </c>
      <c r="N60" s="47">
        <f t="shared" si="8"/>
        <v>0</v>
      </c>
      <c r="O60" s="91">
        <f t="shared" si="9"/>
        <v>-100</v>
      </c>
      <c r="P60" s="39"/>
      <c r="AE60" s="21">
        <v>0</v>
      </c>
    </row>
    <row r="61" spans="1:31" ht="12.75">
      <c r="A61" s="4" t="s">
        <v>46</v>
      </c>
      <c r="B61" s="13"/>
      <c r="C61" s="13" t="s">
        <v>150</v>
      </c>
      <c r="D61" s="137" t="s">
        <v>270</v>
      </c>
      <c r="E61" s="138"/>
      <c r="F61" s="21">
        <f>'Stavební rozpočet'!K62</f>
        <v>0</v>
      </c>
      <c r="G61" s="21">
        <v>0</v>
      </c>
      <c r="H61" s="21">
        <f t="shared" si="5"/>
        <v>0</v>
      </c>
      <c r="I61" s="21">
        <f t="shared" si="6"/>
        <v>0</v>
      </c>
      <c r="J61" s="21">
        <f>'Stavební rozpočet'!G62</f>
        <v>2</v>
      </c>
      <c r="K61" s="21">
        <v>0</v>
      </c>
      <c r="L61" s="78">
        <v>2</v>
      </c>
      <c r="M61" s="85" t="str">
        <f t="shared" si="7"/>
        <v>Nefakturováno</v>
      </c>
      <c r="N61" s="21">
        <f t="shared" si="8"/>
        <v>0</v>
      </c>
      <c r="O61" s="90">
        <f t="shared" si="9"/>
        <v>-100</v>
      </c>
      <c r="P61" s="39"/>
      <c r="AE61" s="21">
        <v>0</v>
      </c>
    </row>
    <row r="62" spans="1:31" ht="12.75">
      <c r="A62" s="4" t="s">
        <v>47</v>
      </c>
      <c r="B62" s="13"/>
      <c r="C62" s="13" t="s">
        <v>151</v>
      </c>
      <c r="D62" s="137" t="s">
        <v>271</v>
      </c>
      <c r="E62" s="138"/>
      <c r="F62" s="21">
        <f>'Stavební rozpočet'!K63</f>
        <v>0</v>
      </c>
      <c r="G62" s="21">
        <v>0</v>
      </c>
      <c r="H62" s="21">
        <f t="shared" si="5"/>
        <v>0</v>
      </c>
      <c r="I62" s="21">
        <f t="shared" si="6"/>
        <v>0</v>
      </c>
      <c r="J62" s="21">
        <f>'Stavební rozpočet'!G63</f>
        <v>3</v>
      </c>
      <c r="K62" s="21">
        <v>0</v>
      </c>
      <c r="L62" s="78">
        <v>3</v>
      </c>
      <c r="M62" s="85" t="str">
        <f t="shared" si="7"/>
        <v>Nefakturováno</v>
      </c>
      <c r="N62" s="21">
        <f t="shared" si="8"/>
        <v>0</v>
      </c>
      <c r="O62" s="90">
        <f t="shared" si="9"/>
        <v>-100</v>
      </c>
      <c r="P62" s="39"/>
      <c r="AE62" s="21">
        <v>0</v>
      </c>
    </row>
    <row r="63" spans="1:31" ht="12.75">
      <c r="A63" s="4" t="s">
        <v>48</v>
      </c>
      <c r="B63" s="13"/>
      <c r="C63" s="13" t="s">
        <v>152</v>
      </c>
      <c r="D63" s="137" t="s">
        <v>272</v>
      </c>
      <c r="E63" s="138"/>
      <c r="F63" s="21">
        <f>'Stavební rozpočet'!K64</f>
        <v>0</v>
      </c>
      <c r="G63" s="21">
        <v>0</v>
      </c>
      <c r="H63" s="21">
        <f t="shared" si="5"/>
        <v>0</v>
      </c>
      <c r="I63" s="21">
        <f t="shared" si="6"/>
        <v>0</v>
      </c>
      <c r="J63" s="21">
        <f>'Stavební rozpočet'!G64</f>
        <v>1</v>
      </c>
      <c r="K63" s="21">
        <v>0</v>
      </c>
      <c r="L63" s="78">
        <v>1</v>
      </c>
      <c r="M63" s="85" t="str">
        <f t="shared" si="7"/>
        <v>Nefakturováno</v>
      </c>
      <c r="N63" s="21">
        <f t="shared" si="8"/>
        <v>0</v>
      </c>
      <c r="O63" s="90">
        <f t="shared" si="9"/>
        <v>-100</v>
      </c>
      <c r="P63" s="39"/>
      <c r="AE63" s="21">
        <v>0</v>
      </c>
    </row>
    <row r="64" spans="1:31" ht="12.75">
      <c r="A64" s="4" t="s">
        <v>49</v>
      </c>
      <c r="B64" s="13"/>
      <c r="C64" s="13" t="s">
        <v>153</v>
      </c>
      <c r="D64" s="137" t="s">
        <v>273</v>
      </c>
      <c r="E64" s="138"/>
      <c r="F64" s="21">
        <f>'Stavební rozpočet'!K65</f>
        <v>0</v>
      </c>
      <c r="G64" s="21">
        <v>0</v>
      </c>
      <c r="H64" s="21">
        <f t="shared" si="5"/>
        <v>0</v>
      </c>
      <c r="I64" s="21">
        <f t="shared" si="6"/>
        <v>0</v>
      </c>
      <c r="J64" s="21">
        <f>'Stavební rozpočet'!G65</f>
        <v>8</v>
      </c>
      <c r="K64" s="21">
        <v>0</v>
      </c>
      <c r="L64" s="78">
        <v>8</v>
      </c>
      <c r="M64" s="85" t="str">
        <f t="shared" si="7"/>
        <v>Nefakturováno</v>
      </c>
      <c r="N64" s="21">
        <f t="shared" si="8"/>
        <v>0</v>
      </c>
      <c r="O64" s="90">
        <f t="shared" si="9"/>
        <v>-100</v>
      </c>
      <c r="P64" s="39"/>
      <c r="AE64" s="21">
        <v>0</v>
      </c>
    </row>
    <row r="65" spans="1:31" ht="12.75">
      <c r="A65" s="4" t="s">
        <v>50</v>
      </c>
      <c r="B65" s="13"/>
      <c r="C65" s="13" t="s">
        <v>154</v>
      </c>
      <c r="D65" s="137" t="s">
        <v>274</v>
      </c>
      <c r="E65" s="138"/>
      <c r="F65" s="21">
        <f>'Stavební rozpočet'!K66</f>
        <v>0</v>
      </c>
      <c r="G65" s="21">
        <v>0</v>
      </c>
      <c r="H65" s="21">
        <f t="shared" si="5"/>
        <v>0</v>
      </c>
      <c r="I65" s="21">
        <f t="shared" si="6"/>
        <v>0</v>
      </c>
      <c r="J65" s="21">
        <f>'Stavební rozpočet'!G66</f>
        <v>6</v>
      </c>
      <c r="K65" s="21">
        <v>0</v>
      </c>
      <c r="L65" s="78">
        <v>6</v>
      </c>
      <c r="M65" s="85" t="str">
        <f t="shared" si="7"/>
        <v>Nefakturováno</v>
      </c>
      <c r="N65" s="21">
        <f t="shared" si="8"/>
        <v>0</v>
      </c>
      <c r="O65" s="90">
        <f t="shared" si="9"/>
        <v>-100</v>
      </c>
      <c r="P65" s="39"/>
      <c r="AE65" s="21">
        <v>0</v>
      </c>
    </row>
    <row r="66" spans="1:31" ht="12.75">
      <c r="A66" s="75"/>
      <c r="B66" s="14"/>
      <c r="C66" s="14" t="s">
        <v>155</v>
      </c>
      <c r="D66" s="139" t="s">
        <v>275</v>
      </c>
      <c r="E66" s="140"/>
      <c r="F66" s="47">
        <f>SUM(F67:F67)</f>
        <v>0</v>
      </c>
      <c r="G66" s="47">
        <f>SUM(G67:G67)</f>
        <v>0</v>
      </c>
      <c r="H66" s="47">
        <f t="shared" si="5"/>
        <v>0</v>
      </c>
      <c r="I66" s="47">
        <f t="shared" si="6"/>
        <v>0</v>
      </c>
      <c r="J66" s="47">
        <f>SUM(J67:J67)</f>
        <v>1.2</v>
      </c>
      <c r="K66" s="47">
        <f>SUM(K67:K67)</f>
        <v>0</v>
      </c>
      <c r="L66" s="83">
        <f>J66-K66</f>
        <v>1.2</v>
      </c>
      <c r="M66" s="86" t="str">
        <f t="shared" si="7"/>
        <v>Nefakturováno</v>
      </c>
      <c r="N66" s="47">
        <f t="shared" si="8"/>
        <v>0</v>
      </c>
      <c r="O66" s="91">
        <f t="shared" si="9"/>
        <v>-100</v>
      </c>
      <c r="P66" s="39"/>
      <c r="AE66" s="21">
        <v>0</v>
      </c>
    </row>
    <row r="67" spans="1:31" ht="12.75">
      <c r="A67" s="4" t="s">
        <v>51</v>
      </c>
      <c r="B67" s="13"/>
      <c r="C67" s="13" t="s">
        <v>156</v>
      </c>
      <c r="D67" s="137" t="s">
        <v>276</v>
      </c>
      <c r="E67" s="138"/>
      <c r="F67" s="21">
        <f>'Stavební rozpočet'!K68</f>
        <v>0</v>
      </c>
      <c r="G67" s="21">
        <v>0</v>
      </c>
      <c r="H67" s="21">
        <f t="shared" si="5"/>
        <v>0</v>
      </c>
      <c r="I67" s="21">
        <f t="shared" si="6"/>
        <v>0</v>
      </c>
      <c r="J67" s="21">
        <f>'Stavební rozpočet'!G68</f>
        <v>1.2</v>
      </c>
      <c r="K67" s="21">
        <v>0</v>
      </c>
      <c r="L67" s="78">
        <v>1.2</v>
      </c>
      <c r="M67" s="85" t="str">
        <f t="shared" si="7"/>
        <v>Nefakturováno</v>
      </c>
      <c r="N67" s="21">
        <f t="shared" si="8"/>
        <v>0</v>
      </c>
      <c r="O67" s="90">
        <f t="shared" si="9"/>
        <v>-100</v>
      </c>
      <c r="P67" s="39"/>
      <c r="AE67" s="21">
        <v>0</v>
      </c>
    </row>
    <row r="68" spans="1:31" ht="12.75">
      <c r="A68" s="75"/>
      <c r="B68" s="14"/>
      <c r="C68" s="14" t="s">
        <v>157</v>
      </c>
      <c r="D68" s="139" t="s">
        <v>277</v>
      </c>
      <c r="E68" s="140"/>
      <c r="F68" s="47">
        <f>SUM(F69:F69)</f>
        <v>0</v>
      </c>
      <c r="G68" s="47">
        <f>SUM(G69:G69)</f>
        <v>0</v>
      </c>
      <c r="H68" s="47">
        <f t="shared" si="5"/>
        <v>0</v>
      </c>
      <c r="I68" s="47">
        <f t="shared" si="6"/>
        <v>0</v>
      </c>
      <c r="J68" s="47">
        <f>SUM(J69:J69)</f>
        <v>6</v>
      </c>
      <c r="K68" s="47">
        <f>SUM(K69:K69)</f>
        <v>0</v>
      </c>
      <c r="L68" s="83">
        <f>J68-K68</f>
        <v>6</v>
      </c>
      <c r="M68" s="86" t="str">
        <f t="shared" si="7"/>
        <v>Nefakturováno</v>
      </c>
      <c r="N68" s="47">
        <f t="shared" si="8"/>
        <v>0</v>
      </c>
      <c r="O68" s="91">
        <f t="shared" si="9"/>
        <v>-100</v>
      </c>
      <c r="P68" s="39"/>
      <c r="AE68" s="21">
        <v>0</v>
      </c>
    </row>
    <row r="69" spans="1:31" ht="12.75">
      <c r="A69" s="4" t="s">
        <v>52</v>
      </c>
      <c r="B69" s="13"/>
      <c r="C69" s="13" t="s">
        <v>158</v>
      </c>
      <c r="D69" s="137" t="s">
        <v>278</v>
      </c>
      <c r="E69" s="138"/>
      <c r="F69" s="21">
        <f>'Stavební rozpočet'!K70</f>
        <v>0</v>
      </c>
      <c r="G69" s="21">
        <v>0</v>
      </c>
      <c r="H69" s="21">
        <f t="shared" si="5"/>
        <v>0</v>
      </c>
      <c r="I69" s="21">
        <f t="shared" si="6"/>
        <v>0</v>
      </c>
      <c r="J69" s="21">
        <f>'Stavební rozpočet'!G70</f>
        <v>6</v>
      </c>
      <c r="K69" s="21">
        <v>0</v>
      </c>
      <c r="L69" s="78">
        <v>6</v>
      </c>
      <c r="M69" s="85" t="str">
        <f t="shared" si="7"/>
        <v>Nefakturováno</v>
      </c>
      <c r="N69" s="21">
        <f t="shared" si="8"/>
        <v>0</v>
      </c>
      <c r="O69" s="90">
        <f t="shared" si="9"/>
        <v>-100</v>
      </c>
      <c r="P69" s="39"/>
      <c r="AE69" s="21">
        <v>0</v>
      </c>
    </row>
    <row r="70" spans="1:31" ht="12.75">
      <c r="A70" s="75"/>
      <c r="B70" s="14"/>
      <c r="C70" s="14" t="s">
        <v>159</v>
      </c>
      <c r="D70" s="139" t="s">
        <v>279</v>
      </c>
      <c r="E70" s="140"/>
      <c r="F70" s="47">
        <f>SUM(F71:F72)</f>
        <v>0</v>
      </c>
      <c r="G70" s="47">
        <f>SUM(G71:G72)</f>
        <v>0</v>
      </c>
      <c r="H70" s="47">
        <f t="shared" si="5"/>
        <v>0</v>
      </c>
      <c r="I70" s="47">
        <f t="shared" si="6"/>
        <v>0</v>
      </c>
      <c r="J70" s="47">
        <f>SUM(J71:J72)</f>
        <v>114.75999999999999</v>
      </c>
      <c r="K70" s="47">
        <f>SUM(K71:K72)</f>
        <v>0</v>
      </c>
      <c r="L70" s="83">
        <f>J70-K70</f>
        <v>114.75999999999999</v>
      </c>
      <c r="M70" s="86" t="str">
        <f t="shared" si="7"/>
        <v>Nefakturováno</v>
      </c>
      <c r="N70" s="47">
        <f t="shared" si="8"/>
        <v>0</v>
      </c>
      <c r="O70" s="91">
        <f t="shared" si="9"/>
        <v>-100</v>
      </c>
      <c r="P70" s="39"/>
      <c r="AE70" s="21">
        <v>0</v>
      </c>
    </row>
    <row r="71" spans="1:31" ht="12.75">
      <c r="A71" s="4" t="s">
        <v>53</v>
      </c>
      <c r="B71" s="13"/>
      <c r="C71" s="13" t="s">
        <v>160</v>
      </c>
      <c r="D71" s="137" t="s">
        <v>280</v>
      </c>
      <c r="E71" s="138"/>
      <c r="F71" s="21">
        <f>'Stavební rozpočet'!K72</f>
        <v>0</v>
      </c>
      <c r="G71" s="21">
        <v>0</v>
      </c>
      <c r="H71" s="21">
        <f t="shared" si="5"/>
        <v>0</v>
      </c>
      <c r="I71" s="21">
        <f t="shared" si="6"/>
        <v>0</v>
      </c>
      <c r="J71" s="21">
        <f>'Stavební rozpočet'!G72</f>
        <v>58.29</v>
      </c>
      <c r="K71" s="21">
        <v>0</v>
      </c>
      <c r="L71" s="78">
        <v>58.29</v>
      </c>
      <c r="M71" s="85" t="str">
        <f t="shared" si="7"/>
        <v>Nefakturováno</v>
      </c>
      <c r="N71" s="21">
        <f t="shared" si="8"/>
        <v>0</v>
      </c>
      <c r="O71" s="90">
        <f t="shared" si="9"/>
        <v>-100</v>
      </c>
      <c r="P71" s="39"/>
      <c r="AE71" s="21">
        <v>0</v>
      </c>
    </row>
    <row r="72" spans="1:31" ht="12.75">
      <c r="A72" s="4" t="s">
        <v>54</v>
      </c>
      <c r="B72" s="13"/>
      <c r="C72" s="13" t="s">
        <v>161</v>
      </c>
      <c r="D72" s="137" t="s">
        <v>281</v>
      </c>
      <c r="E72" s="138"/>
      <c r="F72" s="21">
        <f>'Stavební rozpočet'!K73</f>
        <v>0</v>
      </c>
      <c r="G72" s="21">
        <v>0</v>
      </c>
      <c r="H72" s="21">
        <f t="shared" si="5"/>
        <v>0</v>
      </c>
      <c r="I72" s="21">
        <f t="shared" si="6"/>
        <v>0</v>
      </c>
      <c r="J72" s="21">
        <f>'Stavební rozpočet'!G73</f>
        <v>56.47</v>
      </c>
      <c r="K72" s="21">
        <v>0</v>
      </c>
      <c r="L72" s="78">
        <v>56.47</v>
      </c>
      <c r="M72" s="85" t="str">
        <f t="shared" si="7"/>
        <v>Nefakturováno</v>
      </c>
      <c r="N72" s="21">
        <f t="shared" si="8"/>
        <v>0</v>
      </c>
      <c r="O72" s="90">
        <f t="shared" si="9"/>
        <v>-100</v>
      </c>
      <c r="P72" s="39"/>
      <c r="AE72" s="21">
        <v>0</v>
      </c>
    </row>
    <row r="73" spans="1:31" ht="12.75">
      <c r="A73" s="75"/>
      <c r="B73" s="14"/>
      <c r="C73" s="14" t="s">
        <v>162</v>
      </c>
      <c r="D73" s="139" t="s">
        <v>282</v>
      </c>
      <c r="E73" s="140"/>
      <c r="F73" s="47">
        <f>SUM(F74:F74)</f>
        <v>0</v>
      </c>
      <c r="G73" s="47">
        <f>SUM(G74:G74)</f>
        <v>0</v>
      </c>
      <c r="H73" s="47">
        <f t="shared" si="5"/>
        <v>0</v>
      </c>
      <c r="I73" s="47">
        <f t="shared" si="6"/>
        <v>0</v>
      </c>
      <c r="J73" s="47">
        <f>SUM(J74:J74)</f>
        <v>13.22</v>
      </c>
      <c r="K73" s="47">
        <f>SUM(K74:K74)</f>
        <v>0</v>
      </c>
      <c r="L73" s="83">
        <f>J73-K73</f>
        <v>13.22</v>
      </c>
      <c r="M73" s="86" t="str">
        <f t="shared" si="7"/>
        <v>Nefakturováno</v>
      </c>
      <c r="N73" s="47">
        <f t="shared" si="8"/>
        <v>0</v>
      </c>
      <c r="O73" s="91">
        <f t="shared" si="9"/>
        <v>-100</v>
      </c>
      <c r="P73" s="39"/>
      <c r="AE73" s="21">
        <v>0</v>
      </c>
    </row>
    <row r="74" spans="1:31" ht="12.75">
      <c r="A74" s="4" t="s">
        <v>55</v>
      </c>
      <c r="B74" s="13"/>
      <c r="C74" s="13" t="s">
        <v>163</v>
      </c>
      <c r="D74" s="137" t="s">
        <v>283</v>
      </c>
      <c r="E74" s="138"/>
      <c r="F74" s="21">
        <f>'Stavební rozpočet'!K75</f>
        <v>0</v>
      </c>
      <c r="G74" s="21">
        <v>0</v>
      </c>
      <c r="H74" s="21">
        <f t="shared" si="5"/>
        <v>0</v>
      </c>
      <c r="I74" s="21">
        <f t="shared" si="6"/>
        <v>0</v>
      </c>
      <c r="J74" s="21">
        <f>'Stavební rozpočet'!G75</f>
        <v>13.22</v>
      </c>
      <c r="K74" s="21">
        <v>0</v>
      </c>
      <c r="L74" s="78">
        <v>13.22</v>
      </c>
      <c r="M74" s="85" t="str">
        <f t="shared" si="7"/>
        <v>Nefakturováno</v>
      </c>
      <c r="N74" s="21">
        <f t="shared" si="8"/>
        <v>0</v>
      </c>
      <c r="O74" s="90">
        <f t="shared" si="9"/>
        <v>-100</v>
      </c>
      <c r="P74" s="39"/>
      <c r="AE74" s="21">
        <v>0</v>
      </c>
    </row>
    <row r="75" spans="1:31" ht="12.75">
      <c r="A75" s="75"/>
      <c r="B75" s="14"/>
      <c r="C75" s="14" t="s">
        <v>164</v>
      </c>
      <c r="D75" s="139" t="s">
        <v>284</v>
      </c>
      <c r="E75" s="140"/>
      <c r="F75" s="47">
        <f>SUM(F76:F78)</f>
        <v>0</v>
      </c>
      <c r="G75" s="47">
        <f>SUM(G76:G78)</f>
        <v>0</v>
      </c>
      <c r="H75" s="47">
        <f aca="true" t="shared" si="10" ref="H75:H106">G75-F75</f>
        <v>0</v>
      </c>
      <c r="I75" s="47">
        <f aca="true" t="shared" si="11" ref="I75:I106">IF(F75=0,0,H75/F75*100)</f>
        <v>0</v>
      </c>
      <c r="J75" s="47">
        <f>SUM(J76:J78)</f>
        <v>462.48</v>
      </c>
      <c r="K75" s="47">
        <f>SUM(K76:K78)</f>
        <v>0</v>
      </c>
      <c r="L75" s="83">
        <f>J75-K75</f>
        <v>462.48</v>
      </c>
      <c r="M75" s="86" t="str">
        <f aca="true" t="shared" si="12" ref="M75:M106">IF(G75=0,"Nefakturováno",AE75)</f>
        <v>Nefakturováno</v>
      </c>
      <c r="N75" s="47">
        <f aca="true" t="shared" si="13" ref="N75:N106">AE75-G75</f>
        <v>0</v>
      </c>
      <c r="O75" s="91">
        <f aca="true" t="shared" si="14" ref="O75:O106">IF(G75&lt;&gt;0,N75/G75*100,-100)</f>
        <v>-100</v>
      </c>
      <c r="P75" s="39"/>
      <c r="AE75" s="21">
        <v>0</v>
      </c>
    </row>
    <row r="76" spans="1:31" ht="12.75">
      <c r="A76" s="4" t="s">
        <v>56</v>
      </c>
      <c r="B76" s="13"/>
      <c r="C76" s="13" t="s">
        <v>165</v>
      </c>
      <c r="D76" s="137" t="s">
        <v>285</v>
      </c>
      <c r="E76" s="138"/>
      <c r="F76" s="21">
        <f>'Stavební rozpočet'!K77</f>
        <v>0</v>
      </c>
      <c r="G76" s="21">
        <v>0</v>
      </c>
      <c r="H76" s="21">
        <f t="shared" si="10"/>
        <v>0</v>
      </c>
      <c r="I76" s="21">
        <f t="shared" si="11"/>
        <v>0</v>
      </c>
      <c r="J76" s="21">
        <f>'Stavební rozpočet'!G77</f>
        <v>201.24</v>
      </c>
      <c r="K76" s="21">
        <v>0</v>
      </c>
      <c r="L76" s="78">
        <v>201.24</v>
      </c>
      <c r="M76" s="85" t="str">
        <f t="shared" si="12"/>
        <v>Nefakturováno</v>
      </c>
      <c r="N76" s="21">
        <f t="shared" si="13"/>
        <v>0</v>
      </c>
      <c r="O76" s="90">
        <f t="shared" si="14"/>
        <v>-100</v>
      </c>
      <c r="P76" s="39"/>
      <c r="AE76" s="21">
        <v>0</v>
      </c>
    </row>
    <row r="77" spans="1:31" ht="12.75">
      <c r="A77" s="4" t="s">
        <v>57</v>
      </c>
      <c r="B77" s="13"/>
      <c r="C77" s="13" t="s">
        <v>166</v>
      </c>
      <c r="D77" s="137" t="s">
        <v>286</v>
      </c>
      <c r="E77" s="138"/>
      <c r="F77" s="21">
        <f>'Stavební rozpočet'!K78</f>
        <v>0</v>
      </c>
      <c r="G77" s="21">
        <v>0</v>
      </c>
      <c r="H77" s="21">
        <f t="shared" si="10"/>
        <v>0</v>
      </c>
      <c r="I77" s="21">
        <f t="shared" si="11"/>
        <v>0</v>
      </c>
      <c r="J77" s="21">
        <f>'Stavební rozpočet'!G78</f>
        <v>201.24</v>
      </c>
      <c r="K77" s="21">
        <v>0</v>
      </c>
      <c r="L77" s="78">
        <v>201.24</v>
      </c>
      <c r="M77" s="85" t="str">
        <f t="shared" si="12"/>
        <v>Nefakturováno</v>
      </c>
      <c r="N77" s="21">
        <f t="shared" si="13"/>
        <v>0</v>
      </c>
      <c r="O77" s="90">
        <f t="shared" si="14"/>
        <v>-100</v>
      </c>
      <c r="P77" s="39"/>
      <c r="AE77" s="21">
        <v>0</v>
      </c>
    </row>
    <row r="78" spans="1:31" ht="12.75">
      <c r="A78" s="4" t="s">
        <v>58</v>
      </c>
      <c r="B78" s="13"/>
      <c r="C78" s="13" t="s">
        <v>167</v>
      </c>
      <c r="D78" s="137" t="s">
        <v>287</v>
      </c>
      <c r="E78" s="138"/>
      <c r="F78" s="21">
        <f>'Stavební rozpočet'!K79</f>
        <v>0</v>
      </c>
      <c r="G78" s="21">
        <v>0</v>
      </c>
      <c r="H78" s="21">
        <f t="shared" si="10"/>
        <v>0</v>
      </c>
      <c r="I78" s="21">
        <f t="shared" si="11"/>
        <v>0</v>
      </c>
      <c r="J78" s="21">
        <f>'Stavební rozpočet'!G79</f>
        <v>60</v>
      </c>
      <c r="K78" s="21">
        <v>0</v>
      </c>
      <c r="L78" s="78">
        <v>60</v>
      </c>
      <c r="M78" s="85" t="str">
        <f t="shared" si="12"/>
        <v>Nefakturováno</v>
      </c>
      <c r="N78" s="21">
        <f t="shared" si="13"/>
        <v>0</v>
      </c>
      <c r="O78" s="90">
        <f t="shared" si="14"/>
        <v>-100</v>
      </c>
      <c r="P78" s="39"/>
      <c r="AE78" s="21">
        <v>0</v>
      </c>
    </row>
    <row r="79" spans="1:31" ht="12.75">
      <c r="A79" s="75"/>
      <c r="B79" s="14"/>
      <c r="C79" s="14" t="s">
        <v>100</v>
      </c>
      <c r="D79" s="139" t="s">
        <v>288</v>
      </c>
      <c r="E79" s="140"/>
      <c r="F79" s="47">
        <f>SUM(F80:F82)</f>
        <v>0</v>
      </c>
      <c r="G79" s="47">
        <f>SUM(G80:G82)</f>
        <v>0</v>
      </c>
      <c r="H79" s="47">
        <f t="shared" si="10"/>
        <v>0</v>
      </c>
      <c r="I79" s="47">
        <f t="shared" si="11"/>
        <v>0</v>
      </c>
      <c r="J79" s="47">
        <f>SUM(J80:J82)</f>
        <v>1213.67</v>
      </c>
      <c r="K79" s="47">
        <f>SUM(K80:K82)</f>
        <v>0</v>
      </c>
      <c r="L79" s="83">
        <f>J79-K79</f>
        <v>1213.67</v>
      </c>
      <c r="M79" s="86" t="str">
        <f t="shared" si="12"/>
        <v>Nefakturováno</v>
      </c>
      <c r="N79" s="47">
        <f t="shared" si="13"/>
        <v>0</v>
      </c>
      <c r="O79" s="91">
        <f t="shared" si="14"/>
        <v>-100</v>
      </c>
      <c r="P79" s="39"/>
      <c r="AE79" s="21">
        <v>0</v>
      </c>
    </row>
    <row r="80" spans="1:31" ht="12.75">
      <c r="A80" s="4" t="s">
        <v>59</v>
      </c>
      <c r="B80" s="13"/>
      <c r="C80" s="13" t="s">
        <v>168</v>
      </c>
      <c r="D80" s="137" t="s">
        <v>289</v>
      </c>
      <c r="E80" s="138"/>
      <c r="F80" s="21">
        <f>'Stavební rozpočet'!K81</f>
        <v>0</v>
      </c>
      <c r="G80" s="21">
        <v>0</v>
      </c>
      <c r="H80" s="21">
        <f t="shared" si="10"/>
        <v>0</v>
      </c>
      <c r="I80" s="21">
        <f t="shared" si="11"/>
        <v>0</v>
      </c>
      <c r="J80" s="21">
        <f>'Stavební rozpočet'!G81</f>
        <v>57.67</v>
      </c>
      <c r="K80" s="21">
        <v>0</v>
      </c>
      <c r="L80" s="78">
        <v>57.67</v>
      </c>
      <c r="M80" s="85" t="str">
        <f t="shared" si="12"/>
        <v>Nefakturováno</v>
      </c>
      <c r="N80" s="21">
        <f t="shared" si="13"/>
        <v>0</v>
      </c>
      <c r="O80" s="90">
        <f t="shared" si="14"/>
        <v>-100</v>
      </c>
      <c r="P80" s="39"/>
      <c r="AE80" s="21">
        <v>0</v>
      </c>
    </row>
    <row r="81" spans="1:31" ht="12.75">
      <c r="A81" s="4" t="s">
        <v>60</v>
      </c>
      <c r="B81" s="13"/>
      <c r="C81" s="13" t="s">
        <v>169</v>
      </c>
      <c r="D81" s="137" t="s">
        <v>290</v>
      </c>
      <c r="E81" s="138"/>
      <c r="F81" s="21">
        <f>'Stavební rozpočet'!K82</f>
        <v>0</v>
      </c>
      <c r="G81" s="21">
        <v>0</v>
      </c>
      <c r="H81" s="21">
        <f t="shared" si="10"/>
        <v>0</v>
      </c>
      <c r="I81" s="21">
        <f t="shared" si="11"/>
        <v>0</v>
      </c>
      <c r="J81" s="21">
        <f>'Stavební rozpočet'!G82</f>
        <v>1153</v>
      </c>
      <c r="K81" s="21">
        <v>0</v>
      </c>
      <c r="L81" s="78">
        <v>1153</v>
      </c>
      <c r="M81" s="85" t="str">
        <f t="shared" si="12"/>
        <v>Nefakturováno</v>
      </c>
      <c r="N81" s="21">
        <f t="shared" si="13"/>
        <v>0</v>
      </c>
      <c r="O81" s="90">
        <f t="shared" si="14"/>
        <v>-100</v>
      </c>
      <c r="P81" s="39"/>
      <c r="AE81" s="21">
        <v>0</v>
      </c>
    </row>
    <row r="82" spans="1:31" ht="12.75">
      <c r="A82" s="4" t="s">
        <v>61</v>
      </c>
      <c r="B82" s="13"/>
      <c r="C82" s="13" t="s">
        <v>170</v>
      </c>
      <c r="D82" s="137" t="s">
        <v>291</v>
      </c>
      <c r="E82" s="138"/>
      <c r="F82" s="21">
        <f>'Stavební rozpočet'!K83</f>
        <v>0</v>
      </c>
      <c r="G82" s="21">
        <v>0</v>
      </c>
      <c r="H82" s="21">
        <f t="shared" si="10"/>
        <v>0</v>
      </c>
      <c r="I82" s="21">
        <f t="shared" si="11"/>
        <v>0</v>
      </c>
      <c r="J82" s="21">
        <f>'Stavební rozpočet'!G83</f>
        <v>3</v>
      </c>
      <c r="K82" s="21">
        <v>0</v>
      </c>
      <c r="L82" s="78">
        <v>3</v>
      </c>
      <c r="M82" s="85" t="str">
        <f t="shared" si="12"/>
        <v>Nefakturováno</v>
      </c>
      <c r="N82" s="21">
        <f t="shared" si="13"/>
        <v>0</v>
      </c>
      <c r="O82" s="90">
        <f t="shared" si="14"/>
        <v>-100</v>
      </c>
      <c r="P82" s="39"/>
      <c r="AE82" s="21">
        <v>0</v>
      </c>
    </row>
    <row r="83" spans="1:31" ht="12.75">
      <c r="A83" s="75"/>
      <c r="B83" s="14"/>
      <c r="C83" s="14" t="s">
        <v>101</v>
      </c>
      <c r="D83" s="139" t="s">
        <v>292</v>
      </c>
      <c r="E83" s="140"/>
      <c r="F83" s="47">
        <f>SUM(F84:F87)</f>
        <v>0</v>
      </c>
      <c r="G83" s="47">
        <f>SUM(G84:G87)</f>
        <v>0</v>
      </c>
      <c r="H83" s="47">
        <f t="shared" si="10"/>
        <v>0</v>
      </c>
      <c r="I83" s="47">
        <f t="shared" si="11"/>
        <v>0</v>
      </c>
      <c r="J83" s="47">
        <f>SUM(J84:J87)</f>
        <v>69.39</v>
      </c>
      <c r="K83" s="47">
        <f>SUM(K84:K87)</f>
        <v>0</v>
      </c>
      <c r="L83" s="83">
        <f>J83-K83</f>
        <v>69.39</v>
      </c>
      <c r="M83" s="86" t="str">
        <f t="shared" si="12"/>
        <v>Nefakturováno</v>
      </c>
      <c r="N83" s="47">
        <f t="shared" si="13"/>
        <v>0</v>
      </c>
      <c r="O83" s="91">
        <f t="shared" si="14"/>
        <v>-100</v>
      </c>
      <c r="P83" s="39"/>
      <c r="AE83" s="21">
        <v>0</v>
      </c>
    </row>
    <row r="84" spans="1:31" ht="12.75">
      <c r="A84" s="4" t="s">
        <v>62</v>
      </c>
      <c r="B84" s="13"/>
      <c r="C84" s="13" t="s">
        <v>171</v>
      </c>
      <c r="D84" s="137" t="s">
        <v>293</v>
      </c>
      <c r="E84" s="138"/>
      <c r="F84" s="21">
        <f>'Stavební rozpočet'!K85</f>
        <v>0</v>
      </c>
      <c r="G84" s="21">
        <v>0</v>
      </c>
      <c r="H84" s="21">
        <f t="shared" si="10"/>
        <v>0</v>
      </c>
      <c r="I84" s="21">
        <f t="shared" si="11"/>
        <v>0</v>
      </c>
      <c r="J84" s="21">
        <f>'Stavební rozpočet'!G85</f>
        <v>14</v>
      </c>
      <c r="K84" s="21">
        <v>0</v>
      </c>
      <c r="L84" s="78">
        <v>14</v>
      </c>
      <c r="M84" s="85" t="str">
        <f t="shared" si="12"/>
        <v>Nefakturováno</v>
      </c>
      <c r="N84" s="21">
        <f t="shared" si="13"/>
        <v>0</v>
      </c>
      <c r="O84" s="90">
        <f t="shared" si="14"/>
        <v>-100</v>
      </c>
      <c r="P84" s="39"/>
      <c r="AE84" s="21">
        <v>0</v>
      </c>
    </row>
    <row r="85" spans="1:31" ht="12.75">
      <c r="A85" s="4" t="s">
        <v>63</v>
      </c>
      <c r="B85" s="13"/>
      <c r="C85" s="13" t="s">
        <v>172</v>
      </c>
      <c r="D85" s="137" t="s">
        <v>294</v>
      </c>
      <c r="E85" s="138"/>
      <c r="F85" s="21">
        <f>'Stavební rozpočet'!K86</f>
        <v>0</v>
      </c>
      <c r="G85" s="21">
        <v>0</v>
      </c>
      <c r="H85" s="21">
        <f t="shared" si="10"/>
        <v>0</v>
      </c>
      <c r="I85" s="21">
        <f t="shared" si="11"/>
        <v>0</v>
      </c>
      <c r="J85" s="21">
        <f>'Stavební rozpočet'!G86</f>
        <v>11.6</v>
      </c>
      <c r="K85" s="21">
        <v>0</v>
      </c>
      <c r="L85" s="78">
        <v>11.6</v>
      </c>
      <c r="M85" s="85" t="str">
        <f t="shared" si="12"/>
        <v>Nefakturováno</v>
      </c>
      <c r="N85" s="21">
        <f t="shared" si="13"/>
        <v>0</v>
      </c>
      <c r="O85" s="90">
        <f t="shared" si="14"/>
        <v>-100</v>
      </c>
      <c r="P85" s="39"/>
      <c r="AE85" s="21">
        <v>0</v>
      </c>
    </row>
    <row r="86" spans="1:31" ht="12.75">
      <c r="A86" s="4" t="s">
        <v>64</v>
      </c>
      <c r="B86" s="13"/>
      <c r="C86" s="13" t="s">
        <v>173</v>
      </c>
      <c r="D86" s="137" t="s">
        <v>295</v>
      </c>
      <c r="E86" s="138"/>
      <c r="F86" s="21">
        <f>'Stavební rozpočet'!K87</f>
        <v>0</v>
      </c>
      <c r="G86" s="21">
        <v>0</v>
      </c>
      <c r="H86" s="21">
        <f t="shared" si="10"/>
        <v>0</v>
      </c>
      <c r="I86" s="21">
        <f t="shared" si="11"/>
        <v>0</v>
      </c>
      <c r="J86" s="21">
        <f>'Stavební rozpočet'!G87</f>
        <v>41.79</v>
      </c>
      <c r="K86" s="21">
        <v>0</v>
      </c>
      <c r="L86" s="78">
        <v>41.79</v>
      </c>
      <c r="M86" s="85" t="str">
        <f t="shared" si="12"/>
        <v>Nefakturováno</v>
      </c>
      <c r="N86" s="21">
        <f t="shared" si="13"/>
        <v>0</v>
      </c>
      <c r="O86" s="90">
        <f t="shared" si="14"/>
        <v>-100</v>
      </c>
      <c r="P86" s="39"/>
      <c r="AE86" s="21">
        <v>0</v>
      </c>
    </row>
    <row r="87" spans="1:31" ht="12.75">
      <c r="A87" s="4" t="s">
        <v>65</v>
      </c>
      <c r="B87" s="13"/>
      <c r="C87" s="13" t="s">
        <v>174</v>
      </c>
      <c r="D87" s="137" t="s">
        <v>296</v>
      </c>
      <c r="E87" s="138"/>
      <c r="F87" s="21">
        <f>'Stavební rozpočet'!K88</f>
        <v>0</v>
      </c>
      <c r="G87" s="21">
        <v>0</v>
      </c>
      <c r="H87" s="21">
        <f t="shared" si="10"/>
        <v>0</v>
      </c>
      <c r="I87" s="21">
        <f t="shared" si="11"/>
        <v>0</v>
      </c>
      <c r="J87" s="21">
        <f>'Stavební rozpočet'!G88</f>
        <v>2</v>
      </c>
      <c r="K87" s="21">
        <v>0</v>
      </c>
      <c r="L87" s="78">
        <v>2</v>
      </c>
      <c r="M87" s="85" t="str">
        <f t="shared" si="12"/>
        <v>Nefakturováno</v>
      </c>
      <c r="N87" s="21">
        <f t="shared" si="13"/>
        <v>0</v>
      </c>
      <c r="O87" s="90">
        <f t="shared" si="14"/>
        <v>-100</v>
      </c>
      <c r="P87" s="39"/>
      <c r="AE87" s="21">
        <v>0</v>
      </c>
    </row>
    <row r="88" spans="1:31" ht="12.75">
      <c r="A88" s="75"/>
      <c r="B88" s="14"/>
      <c r="C88" s="14" t="s">
        <v>175</v>
      </c>
      <c r="D88" s="139" t="s">
        <v>297</v>
      </c>
      <c r="E88" s="140"/>
      <c r="F88" s="47">
        <f>SUM(F89:F89)</f>
        <v>0</v>
      </c>
      <c r="G88" s="47">
        <f>SUM(G89:G89)</f>
        <v>0</v>
      </c>
      <c r="H88" s="47">
        <f t="shared" si="10"/>
        <v>0</v>
      </c>
      <c r="I88" s="47">
        <f t="shared" si="11"/>
        <v>0</v>
      </c>
      <c r="J88" s="47">
        <f>SUM(J89:J89)</f>
        <v>1</v>
      </c>
      <c r="K88" s="47">
        <f>SUM(K89:K89)</f>
        <v>0</v>
      </c>
      <c r="L88" s="83">
        <f>J88-K88</f>
        <v>1</v>
      </c>
      <c r="M88" s="86" t="str">
        <f t="shared" si="12"/>
        <v>Nefakturováno</v>
      </c>
      <c r="N88" s="47">
        <f t="shared" si="13"/>
        <v>0</v>
      </c>
      <c r="O88" s="91">
        <f t="shared" si="14"/>
        <v>-100</v>
      </c>
      <c r="P88" s="39"/>
      <c r="AE88" s="21">
        <v>0</v>
      </c>
    </row>
    <row r="89" spans="1:31" ht="12.75">
      <c r="A89" s="4" t="s">
        <v>66</v>
      </c>
      <c r="B89" s="13"/>
      <c r="C89" s="13" t="s">
        <v>176</v>
      </c>
      <c r="D89" s="137" t="s">
        <v>298</v>
      </c>
      <c r="E89" s="138"/>
      <c r="F89" s="21">
        <f>'Stavební rozpočet'!K90</f>
        <v>0</v>
      </c>
      <c r="G89" s="21">
        <v>0</v>
      </c>
      <c r="H89" s="21">
        <f t="shared" si="10"/>
        <v>0</v>
      </c>
      <c r="I89" s="21">
        <f t="shared" si="11"/>
        <v>0</v>
      </c>
      <c r="J89" s="21">
        <f>'Stavební rozpočet'!G90</f>
        <v>1</v>
      </c>
      <c r="K89" s="21">
        <v>0</v>
      </c>
      <c r="L89" s="78">
        <v>1</v>
      </c>
      <c r="M89" s="85" t="str">
        <f t="shared" si="12"/>
        <v>Nefakturováno</v>
      </c>
      <c r="N89" s="21">
        <f t="shared" si="13"/>
        <v>0</v>
      </c>
      <c r="O89" s="90">
        <f t="shared" si="14"/>
        <v>-100</v>
      </c>
      <c r="P89" s="39"/>
      <c r="AE89" s="21">
        <v>0</v>
      </c>
    </row>
    <row r="90" spans="1:31" ht="12.75">
      <c r="A90" s="75"/>
      <c r="B90" s="14"/>
      <c r="C90" s="14" t="s">
        <v>177</v>
      </c>
      <c r="D90" s="139" t="s">
        <v>299</v>
      </c>
      <c r="E90" s="140"/>
      <c r="F90" s="47">
        <f>SUM(F91:F91)</f>
        <v>0</v>
      </c>
      <c r="G90" s="47">
        <f>SUM(G91:G91)</f>
        <v>0</v>
      </c>
      <c r="H90" s="47">
        <f t="shared" si="10"/>
        <v>0</v>
      </c>
      <c r="I90" s="47">
        <f t="shared" si="11"/>
        <v>0</v>
      </c>
      <c r="J90" s="47">
        <f>SUM(J91:J91)</f>
        <v>7.738</v>
      </c>
      <c r="K90" s="47">
        <f>SUM(K91:K91)</f>
        <v>0</v>
      </c>
      <c r="L90" s="83">
        <f>J90-K90</f>
        <v>7.738</v>
      </c>
      <c r="M90" s="86" t="str">
        <f t="shared" si="12"/>
        <v>Nefakturováno</v>
      </c>
      <c r="N90" s="47">
        <f t="shared" si="13"/>
        <v>0</v>
      </c>
      <c r="O90" s="91">
        <f t="shared" si="14"/>
        <v>-100</v>
      </c>
      <c r="P90" s="39"/>
      <c r="AE90" s="21">
        <v>0</v>
      </c>
    </row>
    <row r="91" spans="1:31" ht="12.75">
      <c r="A91" s="4" t="s">
        <v>67</v>
      </c>
      <c r="B91" s="13"/>
      <c r="C91" s="13" t="s">
        <v>178</v>
      </c>
      <c r="D91" s="137" t="s">
        <v>300</v>
      </c>
      <c r="E91" s="138"/>
      <c r="F91" s="21">
        <f>'Stavební rozpočet'!K92</f>
        <v>0</v>
      </c>
      <c r="G91" s="21">
        <v>0</v>
      </c>
      <c r="H91" s="21">
        <f t="shared" si="10"/>
        <v>0</v>
      </c>
      <c r="I91" s="21">
        <f t="shared" si="11"/>
        <v>0</v>
      </c>
      <c r="J91" s="21">
        <f>'Stavební rozpočet'!G92</f>
        <v>7.738</v>
      </c>
      <c r="K91" s="21">
        <v>0</v>
      </c>
      <c r="L91" s="78">
        <v>7.738</v>
      </c>
      <c r="M91" s="85" t="str">
        <f t="shared" si="12"/>
        <v>Nefakturováno</v>
      </c>
      <c r="N91" s="21">
        <f t="shared" si="13"/>
        <v>0</v>
      </c>
      <c r="O91" s="90">
        <f t="shared" si="14"/>
        <v>-100</v>
      </c>
      <c r="P91" s="39"/>
      <c r="AE91" s="21">
        <v>0</v>
      </c>
    </row>
    <row r="92" spans="1:31" ht="12.75">
      <c r="A92" s="75"/>
      <c r="B92" s="14"/>
      <c r="C92" s="14" t="s">
        <v>179</v>
      </c>
      <c r="D92" s="139" t="s">
        <v>301</v>
      </c>
      <c r="E92" s="140"/>
      <c r="F92" s="47">
        <f>SUM(F93:F94)</f>
        <v>0</v>
      </c>
      <c r="G92" s="47">
        <f>SUM(G93:G94)</f>
        <v>0</v>
      </c>
      <c r="H92" s="47">
        <f t="shared" si="10"/>
        <v>0</v>
      </c>
      <c r="I92" s="47">
        <f t="shared" si="11"/>
        <v>0</v>
      </c>
      <c r="J92" s="47">
        <f>SUM(J93:J94)</f>
        <v>2</v>
      </c>
      <c r="K92" s="47">
        <f>SUM(K93:K94)</f>
        <v>0</v>
      </c>
      <c r="L92" s="83">
        <f>J92-K92</f>
        <v>2</v>
      </c>
      <c r="M92" s="86" t="str">
        <f t="shared" si="12"/>
        <v>Nefakturováno</v>
      </c>
      <c r="N92" s="47">
        <f t="shared" si="13"/>
        <v>0</v>
      </c>
      <c r="O92" s="91">
        <f t="shared" si="14"/>
        <v>-100</v>
      </c>
      <c r="P92" s="39"/>
      <c r="AE92" s="21">
        <v>0</v>
      </c>
    </row>
    <row r="93" spans="1:31" ht="12.75">
      <c r="A93" s="4" t="s">
        <v>68</v>
      </c>
      <c r="B93" s="13"/>
      <c r="C93" s="13" t="s">
        <v>180</v>
      </c>
      <c r="D93" s="137" t="s">
        <v>302</v>
      </c>
      <c r="E93" s="138"/>
      <c r="F93" s="21">
        <f>'Stavební rozpočet'!K94</f>
        <v>0</v>
      </c>
      <c r="G93" s="21">
        <v>0</v>
      </c>
      <c r="H93" s="21">
        <f t="shared" si="10"/>
        <v>0</v>
      </c>
      <c r="I93" s="21">
        <f t="shared" si="11"/>
        <v>0</v>
      </c>
      <c r="J93" s="21">
        <f>'Stavební rozpočet'!G94</f>
        <v>1</v>
      </c>
      <c r="K93" s="21">
        <v>0</v>
      </c>
      <c r="L93" s="78">
        <v>1</v>
      </c>
      <c r="M93" s="85" t="str">
        <f t="shared" si="12"/>
        <v>Nefakturováno</v>
      </c>
      <c r="N93" s="21">
        <f t="shared" si="13"/>
        <v>0</v>
      </c>
      <c r="O93" s="90">
        <f t="shared" si="14"/>
        <v>-100</v>
      </c>
      <c r="P93" s="39"/>
      <c r="AE93" s="21">
        <v>0</v>
      </c>
    </row>
    <row r="94" spans="1:31" ht="12.75">
      <c r="A94" s="4" t="s">
        <v>69</v>
      </c>
      <c r="B94" s="13"/>
      <c r="C94" s="13" t="s">
        <v>181</v>
      </c>
      <c r="D94" s="137" t="s">
        <v>303</v>
      </c>
      <c r="E94" s="138"/>
      <c r="F94" s="21">
        <f>'Stavební rozpočet'!K95</f>
        <v>0</v>
      </c>
      <c r="G94" s="21">
        <v>0</v>
      </c>
      <c r="H94" s="21">
        <f t="shared" si="10"/>
        <v>0</v>
      </c>
      <c r="I94" s="21">
        <f t="shared" si="11"/>
        <v>0</v>
      </c>
      <c r="J94" s="21">
        <f>'Stavební rozpočet'!G95</f>
        <v>1</v>
      </c>
      <c r="K94" s="21">
        <v>0</v>
      </c>
      <c r="L94" s="78">
        <v>1</v>
      </c>
      <c r="M94" s="85" t="str">
        <f t="shared" si="12"/>
        <v>Nefakturováno</v>
      </c>
      <c r="N94" s="21">
        <f t="shared" si="13"/>
        <v>0</v>
      </c>
      <c r="O94" s="90">
        <f t="shared" si="14"/>
        <v>-100</v>
      </c>
      <c r="P94" s="39"/>
      <c r="AE94" s="21">
        <v>0</v>
      </c>
    </row>
    <row r="95" spans="1:31" ht="12.75">
      <c r="A95" s="75"/>
      <c r="B95" s="14"/>
      <c r="C95" s="14" t="s">
        <v>182</v>
      </c>
      <c r="D95" s="139" t="s">
        <v>304</v>
      </c>
      <c r="E95" s="140"/>
      <c r="F95" s="47">
        <f>SUM(F96:F96)</f>
        <v>0</v>
      </c>
      <c r="G95" s="47">
        <f>SUM(G96:G96)</f>
        <v>0</v>
      </c>
      <c r="H95" s="47">
        <f t="shared" si="10"/>
        <v>0</v>
      </c>
      <c r="I95" s="47">
        <f t="shared" si="11"/>
        <v>0</v>
      </c>
      <c r="J95" s="47">
        <f>SUM(J96:J96)</f>
        <v>1</v>
      </c>
      <c r="K95" s="47">
        <f>SUM(K96:K96)</f>
        <v>0</v>
      </c>
      <c r="L95" s="83">
        <f>J95-K95</f>
        <v>1</v>
      </c>
      <c r="M95" s="86" t="str">
        <f t="shared" si="12"/>
        <v>Nefakturováno</v>
      </c>
      <c r="N95" s="47">
        <f t="shared" si="13"/>
        <v>0</v>
      </c>
      <c r="O95" s="91">
        <f t="shared" si="14"/>
        <v>-100</v>
      </c>
      <c r="P95" s="39"/>
      <c r="AE95" s="21">
        <v>0</v>
      </c>
    </row>
    <row r="96" spans="1:31" ht="12.75">
      <c r="A96" s="4" t="s">
        <v>70</v>
      </c>
      <c r="B96" s="13"/>
      <c r="C96" s="13" t="s">
        <v>183</v>
      </c>
      <c r="D96" s="137" t="s">
        <v>305</v>
      </c>
      <c r="E96" s="138"/>
      <c r="F96" s="21">
        <f>'Stavební rozpočet'!K97</f>
        <v>0</v>
      </c>
      <c r="G96" s="21">
        <v>0</v>
      </c>
      <c r="H96" s="21">
        <f t="shared" si="10"/>
        <v>0</v>
      </c>
      <c r="I96" s="21">
        <f t="shared" si="11"/>
        <v>0</v>
      </c>
      <c r="J96" s="21">
        <f>'Stavební rozpočet'!G97</f>
        <v>1</v>
      </c>
      <c r="K96" s="21">
        <v>0</v>
      </c>
      <c r="L96" s="78">
        <v>1</v>
      </c>
      <c r="M96" s="85" t="str">
        <f t="shared" si="12"/>
        <v>Nefakturováno</v>
      </c>
      <c r="N96" s="21">
        <f t="shared" si="13"/>
        <v>0</v>
      </c>
      <c r="O96" s="90">
        <f t="shared" si="14"/>
        <v>-100</v>
      </c>
      <c r="P96" s="39"/>
      <c r="AE96" s="21">
        <v>0</v>
      </c>
    </row>
    <row r="97" spans="1:31" ht="12.75">
      <c r="A97" s="75"/>
      <c r="B97" s="14"/>
      <c r="C97" s="14" t="s">
        <v>184</v>
      </c>
      <c r="D97" s="139" t="s">
        <v>306</v>
      </c>
      <c r="E97" s="140"/>
      <c r="F97" s="47">
        <f>SUM(F98:F105)</f>
        <v>0</v>
      </c>
      <c r="G97" s="47">
        <f>SUM(G98:G105)</f>
        <v>0</v>
      </c>
      <c r="H97" s="47">
        <f t="shared" si="10"/>
        <v>0</v>
      </c>
      <c r="I97" s="47">
        <f t="shared" si="11"/>
        <v>0</v>
      </c>
      <c r="J97" s="47">
        <f>SUM(J98:J105)</f>
        <v>62.49999999999999</v>
      </c>
      <c r="K97" s="47">
        <f>SUM(K98:K105)</f>
        <v>0</v>
      </c>
      <c r="L97" s="83">
        <f>J97-K97</f>
        <v>62.49999999999999</v>
      </c>
      <c r="M97" s="86" t="str">
        <f t="shared" si="12"/>
        <v>Nefakturováno</v>
      </c>
      <c r="N97" s="47">
        <f t="shared" si="13"/>
        <v>0</v>
      </c>
      <c r="O97" s="91">
        <f t="shared" si="14"/>
        <v>-100</v>
      </c>
      <c r="P97" s="39"/>
      <c r="AE97" s="21">
        <v>0</v>
      </c>
    </row>
    <row r="98" spans="1:31" ht="12.75">
      <c r="A98" s="4" t="s">
        <v>71</v>
      </c>
      <c r="B98" s="13"/>
      <c r="C98" s="13" t="s">
        <v>185</v>
      </c>
      <c r="D98" s="137" t="s">
        <v>307</v>
      </c>
      <c r="E98" s="138"/>
      <c r="F98" s="21">
        <f>'Stavební rozpočet'!K99</f>
        <v>0</v>
      </c>
      <c r="G98" s="21">
        <v>0</v>
      </c>
      <c r="H98" s="21">
        <f t="shared" si="10"/>
        <v>0</v>
      </c>
      <c r="I98" s="21">
        <f t="shared" si="11"/>
        <v>0</v>
      </c>
      <c r="J98" s="21">
        <f>'Stavební rozpočet'!G99</f>
        <v>3.87</v>
      </c>
      <c r="K98" s="21">
        <v>0</v>
      </c>
      <c r="L98" s="78">
        <v>3.87</v>
      </c>
      <c r="M98" s="85" t="str">
        <f t="shared" si="12"/>
        <v>Nefakturováno</v>
      </c>
      <c r="N98" s="21">
        <f t="shared" si="13"/>
        <v>0</v>
      </c>
      <c r="O98" s="90">
        <f t="shared" si="14"/>
        <v>-100</v>
      </c>
      <c r="P98" s="39"/>
      <c r="AE98" s="21">
        <v>0</v>
      </c>
    </row>
    <row r="99" spans="1:31" ht="12.75">
      <c r="A99" s="4" t="s">
        <v>72</v>
      </c>
      <c r="B99" s="13"/>
      <c r="C99" s="13" t="s">
        <v>186</v>
      </c>
      <c r="D99" s="137" t="s">
        <v>308</v>
      </c>
      <c r="E99" s="138"/>
      <c r="F99" s="21">
        <f>'Stavební rozpočet'!K100</f>
        <v>0</v>
      </c>
      <c r="G99" s="21">
        <v>0</v>
      </c>
      <c r="H99" s="21">
        <f t="shared" si="10"/>
        <v>0</v>
      </c>
      <c r="I99" s="21">
        <f t="shared" si="11"/>
        <v>0</v>
      </c>
      <c r="J99" s="21">
        <f>'Stavební rozpočet'!G100</f>
        <v>3.87</v>
      </c>
      <c r="K99" s="21">
        <v>0</v>
      </c>
      <c r="L99" s="78">
        <v>3.87</v>
      </c>
      <c r="M99" s="85" t="str">
        <f t="shared" si="12"/>
        <v>Nefakturováno</v>
      </c>
      <c r="N99" s="21">
        <f t="shared" si="13"/>
        <v>0</v>
      </c>
      <c r="O99" s="90">
        <f t="shared" si="14"/>
        <v>-100</v>
      </c>
      <c r="P99" s="39"/>
      <c r="AE99" s="21">
        <v>0</v>
      </c>
    </row>
    <row r="100" spans="1:31" ht="12.75">
      <c r="A100" s="4" t="s">
        <v>73</v>
      </c>
      <c r="B100" s="13"/>
      <c r="C100" s="13" t="s">
        <v>187</v>
      </c>
      <c r="D100" s="137" t="s">
        <v>309</v>
      </c>
      <c r="E100" s="138"/>
      <c r="F100" s="21">
        <f>'Stavební rozpočet'!K101</f>
        <v>0</v>
      </c>
      <c r="G100" s="21">
        <v>0</v>
      </c>
      <c r="H100" s="21">
        <f t="shared" si="10"/>
        <v>0</v>
      </c>
      <c r="I100" s="21">
        <f t="shared" si="11"/>
        <v>0</v>
      </c>
      <c r="J100" s="21">
        <f>'Stavební rozpočet'!G101</f>
        <v>3.87</v>
      </c>
      <c r="K100" s="21">
        <v>0</v>
      </c>
      <c r="L100" s="78">
        <v>3.87</v>
      </c>
      <c r="M100" s="85" t="str">
        <f t="shared" si="12"/>
        <v>Nefakturováno</v>
      </c>
      <c r="N100" s="21">
        <f t="shared" si="13"/>
        <v>0</v>
      </c>
      <c r="O100" s="90">
        <f t="shared" si="14"/>
        <v>-100</v>
      </c>
      <c r="P100" s="39"/>
      <c r="AE100" s="21">
        <v>0</v>
      </c>
    </row>
    <row r="101" spans="1:31" ht="12.75">
      <c r="A101" s="4" t="s">
        <v>74</v>
      </c>
      <c r="B101" s="13"/>
      <c r="C101" s="13" t="s">
        <v>188</v>
      </c>
      <c r="D101" s="137" t="s">
        <v>310</v>
      </c>
      <c r="E101" s="138"/>
      <c r="F101" s="21">
        <f>'Stavební rozpočet'!K102</f>
        <v>0</v>
      </c>
      <c r="G101" s="21">
        <v>0</v>
      </c>
      <c r="H101" s="21">
        <f t="shared" si="10"/>
        <v>0</v>
      </c>
      <c r="I101" s="21">
        <f t="shared" si="11"/>
        <v>0</v>
      </c>
      <c r="J101" s="21">
        <f>'Stavební rozpočet'!G102</f>
        <v>38.7</v>
      </c>
      <c r="K101" s="21">
        <v>0</v>
      </c>
      <c r="L101" s="78">
        <v>38.7</v>
      </c>
      <c r="M101" s="85" t="str">
        <f t="shared" si="12"/>
        <v>Nefakturováno</v>
      </c>
      <c r="N101" s="21">
        <f t="shared" si="13"/>
        <v>0</v>
      </c>
      <c r="O101" s="90">
        <f t="shared" si="14"/>
        <v>-100</v>
      </c>
      <c r="P101" s="39"/>
      <c r="AE101" s="21">
        <v>0</v>
      </c>
    </row>
    <row r="102" spans="1:31" ht="12.75">
      <c r="A102" s="4" t="s">
        <v>75</v>
      </c>
      <c r="B102" s="13"/>
      <c r="C102" s="13" t="s">
        <v>189</v>
      </c>
      <c r="D102" s="137" t="s">
        <v>311</v>
      </c>
      <c r="E102" s="138"/>
      <c r="F102" s="21">
        <f>'Stavební rozpočet'!K103</f>
        <v>0</v>
      </c>
      <c r="G102" s="21">
        <v>0</v>
      </c>
      <c r="H102" s="21">
        <f t="shared" si="10"/>
        <v>0</v>
      </c>
      <c r="I102" s="21">
        <f t="shared" si="11"/>
        <v>0</v>
      </c>
      <c r="J102" s="21">
        <f>'Stavební rozpočet'!G103</f>
        <v>3.87</v>
      </c>
      <c r="K102" s="21">
        <v>0</v>
      </c>
      <c r="L102" s="78">
        <v>3.87</v>
      </c>
      <c r="M102" s="85" t="str">
        <f t="shared" si="12"/>
        <v>Nefakturováno</v>
      </c>
      <c r="N102" s="21">
        <f t="shared" si="13"/>
        <v>0</v>
      </c>
      <c r="O102" s="90">
        <f t="shared" si="14"/>
        <v>-100</v>
      </c>
      <c r="P102" s="39"/>
      <c r="AE102" s="21">
        <v>0</v>
      </c>
    </row>
    <row r="103" spans="1:31" ht="12.75">
      <c r="A103" s="4" t="s">
        <v>76</v>
      </c>
      <c r="B103" s="13"/>
      <c r="C103" s="13" t="s">
        <v>190</v>
      </c>
      <c r="D103" s="137" t="s">
        <v>312</v>
      </c>
      <c r="E103" s="138"/>
      <c r="F103" s="21">
        <f>'Stavební rozpočet'!K104</f>
        <v>0</v>
      </c>
      <c r="G103" s="21">
        <v>0</v>
      </c>
      <c r="H103" s="21">
        <f t="shared" si="10"/>
        <v>0</v>
      </c>
      <c r="I103" s="21">
        <f t="shared" si="11"/>
        <v>0</v>
      </c>
      <c r="J103" s="21">
        <f>'Stavební rozpočet'!G104</f>
        <v>3.87</v>
      </c>
      <c r="K103" s="21">
        <v>0</v>
      </c>
      <c r="L103" s="78">
        <v>3.87</v>
      </c>
      <c r="M103" s="85" t="str">
        <f t="shared" si="12"/>
        <v>Nefakturováno</v>
      </c>
      <c r="N103" s="21">
        <f t="shared" si="13"/>
        <v>0</v>
      </c>
      <c r="O103" s="90">
        <f t="shared" si="14"/>
        <v>-100</v>
      </c>
      <c r="P103" s="39"/>
      <c r="AE103" s="21">
        <v>0</v>
      </c>
    </row>
    <row r="104" spans="1:31" ht="12.75">
      <c r="A104" s="4" t="s">
        <v>77</v>
      </c>
      <c r="B104" s="13"/>
      <c r="C104" s="13" t="s">
        <v>191</v>
      </c>
      <c r="D104" s="137" t="s">
        <v>313</v>
      </c>
      <c r="E104" s="138"/>
      <c r="F104" s="21">
        <f>'Stavební rozpočet'!K105</f>
        <v>0</v>
      </c>
      <c r="G104" s="21">
        <v>0</v>
      </c>
      <c r="H104" s="21">
        <f t="shared" si="10"/>
        <v>0</v>
      </c>
      <c r="I104" s="21">
        <f t="shared" si="11"/>
        <v>0</v>
      </c>
      <c r="J104" s="21">
        <f>'Stavební rozpočet'!G105</f>
        <v>3.87</v>
      </c>
      <c r="K104" s="21">
        <v>0</v>
      </c>
      <c r="L104" s="78">
        <v>3.87</v>
      </c>
      <c r="M104" s="85" t="str">
        <f t="shared" si="12"/>
        <v>Nefakturováno</v>
      </c>
      <c r="N104" s="21">
        <f t="shared" si="13"/>
        <v>0</v>
      </c>
      <c r="O104" s="90">
        <f t="shared" si="14"/>
        <v>-100</v>
      </c>
      <c r="P104" s="39"/>
      <c r="AE104" s="21">
        <v>0</v>
      </c>
    </row>
    <row r="105" spans="1:31" ht="12.75">
      <c r="A105" s="4" t="s">
        <v>78</v>
      </c>
      <c r="B105" s="13"/>
      <c r="C105" s="13" t="s">
        <v>192</v>
      </c>
      <c r="D105" s="137" t="s">
        <v>314</v>
      </c>
      <c r="E105" s="138"/>
      <c r="F105" s="21">
        <f>'Stavební rozpočet'!K106</f>
        <v>0</v>
      </c>
      <c r="G105" s="21">
        <v>0</v>
      </c>
      <c r="H105" s="21">
        <f t="shared" si="10"/>
        <v>0</v>
      </c>
      <c r="I105" s="21">
        <f t="shared" si="11"/>
        <v>0</v>
      </c>
      <c r="J105" s="21">
        <f>'Stavební rozpočet'!G106</f>
        <v>0.58</v>
      </c>
      <c r="K105" s="21">
        <v>0</v>
      </c>
      <c r="L105" s="78">
        <v>0.58</v>
      </c>
      <c r="M105" s="85" t="str">
        <f t="shared" si="12"/>
        <v>Nefakturováno</v>
      </c>
      <c r="N105" s="21">
        <f t="shared" si="13"/>
        <v>0</v>
      </c>
      <c r="O105" s="90">
        <f t="shared" si="14"/>
        <v>-100</v>
      </c>
      <c r="P105" s="39"/>
      <c r="AE105" s="21">
        <v>0</v>
      </c>
    </row>
    <row r="106" spans="1:31" ht="12.75">
      <c r="A106" s="75"/>
      <c r="B106" s="14"/>
      <c r="C106" s="14"/>
      <c r="D106" s="139" t="s">
        <v>315</v>
      </c>
      <c r="E106" s="140"/>
      <c r="F106" s="47">
        <f>SUM(F107:F129)</f>
        <v>0</v>
      </c>
      <c r="G106" s="47">
        <f>SUM(G107:G129)</f>
        <v>0</v>
      </c>
      <c r="H106" s="47">
        <f t="shared" si="10"/>
        <v>0</v>
      </c>
      <c r="I106" s="47">
        <f t="shared" si="11"/>
        <v>0</v>
      </c>
      <c r="J106" s="47">
        <f>SUM(J107:J129)</f>
        <v>105</v>
      </c>
      <c r="K106" s="47">
        <f>SUM(K107:K129)</f>
        <v>0</v>
      </c>
      <c r="L106" s="83">
        <f>J106-K106</f>
        <v>105</v>
      </c>
      <c r="M106" s="86" t="str">
        <f t="shared" si="12"/>
        <v>Nefakturováno</v>
      </c>
      <c r="N106" s="47">
        <f t="shared" si="13"/>
        <v>0</v>
      </c>
      <c r="O106" s="91">
        <f t="shared" si="14"/>
        <v>-100</v>
      </c>
      <c r="P106" s="39"/>
      <c r="AE106" s="21">
        <v>0</v>
      </c>
    </row>
    <row r="107" spans="1:31" ht="12.75">
      <c r="A107" s="6" t="s">
        <v>79</v>
      </c>
      <c r="B107" s="15"/>
      <c r="C107" s="15" t="s">
        <v>193</v>
      </c>
      <c r="D107" s="141" t="s">
        <v>316</v>
      </c>
      <c r="E107" s="142"/>
      <c r="F107" s="22">
        <f>'Stavební rozpočet'!K108</f>
        <v>0</v>
      </c>
      <c r="G107" s="22">
        <v>0</v>
      </c>
      <c r="H107" s="22">
        <f aca="true" t="shared" si="15" ref="H107:H129">G107-F107</f>
        <v>0</v>
      </c>
      <c r="I107" s="22">
        <f aca="true" t="shared" si="16" ref="I107:I129">IF(F107=0,0,H107/F107*100)</f>
        <v>0</v>
      </c>
      <c r="J107" s="22">
        <f>'Stavební rozpočet'!G108</f>
        <v>1</v>
      </c>
      <c r="K107" s="22">
        <v>0</v>
      </c>
      <c r="L107" s="79">
        <v>1</v>
      </c>
      <c r="M107" s="87" t="str">
        <f aca="true" t="shared" si="17" ref="M107:M129">IF(G107=0,"Nefakturováno",AE107)</f>
        <v>Nefakturováno</v>
      </c>
      <c r="N107" s="22">
        <f aca="true" t="shared" si="18" ref="N107:N129">AE107-G107</f>
        <v>0</v>
      </c>
      <c r="O107" s="92">
        <f aca="true" t="shared" si="19" ref="O107:O129">IF(G107&lt;&gt;0,N107/G107*100,-100)</f>
        <v>-100</v>
      </c>
      <c r="P107" s="39"/>
      <c r="AE107" s="22">
        <v>0</v>
      </c>
    </row>
    <row r="108" spans="1:31" ht="12.75">
      <c r="A108" s="6" t="s">
        <v>80</v>
      </c>
      <c r="B108" s="15"/>
      <c r="C108" s="15" t="s">
        <v>194</v>
      </c>
      <c r="D108" s="141" t="s">
        <v>317</v>
      </c>
      <c r="E108" s="142"/>
      <c r="F108" s="22">
        <f>'Stavební rozpočet'!K109</f>
        <v>0</v>
      </c>
      <c r="G108" s="22">
        <v>0</v>
      </c>
      <c r="H108" s="22">
        <f t="shared" si="15"/>
        <v>0</v>
      </c>
      <c r="I108" s="22">
        <f t="shared" si="16"/>
        <v>0</v>
      </c>
      <c r="J108" s="22">
        <f>'Stavební rozpočet'!G109</f>
        <v>1</v>
      </c>
      <c r="K108" s="22">
        <v>0</v>
      </c>
      <c r="L108" s="79">
        <v>1</v>
      </c>
      <c r="M108" s="87" t="str">
        <f t="shared" si="17"/>
        <v>Nefakturováno</v>
      </c>
      <c r="N108" s="22">
        <f t="shared" si="18"/>
        <v>0</v>
      </c>
      <c r="O108" s="92">
        <f t="shared" si="19"/>
        <v>-100</v>
      </c>
      <c r="P108" s="39"/>
      <c r="AE108" s="22">
        <v>0</v>
      </c>
    </row>
    <row r="109" spans="1:31" ht="12.75">
      <c r="A109" s="6" t="s">
        <v>81</v>
      </c>
      <c r="B109" s="15"/>
      <c r="C109" s="15" t="s">
        <v>195</v>
      </c>
      <c r="D109" s="141" t="s">
        <v>318</v>
      </c>
      <c r="E109" s="142"/>
      <c r="F109" s="22">
        <f>'Stavební rozpočet'!K110</f>
        <v>0</v>
      </c>
      <c r="G109" s="22">
        <v>0</v>
      </c>
      <c r="H109" s="22">
        <f t="shared" si="15"/>
        <v>0</v>
      </c>
      <c r="I109" s="22">
        <f t="shared" si="16"/>
        <v>0</v>
      </c>
      <c r="J109" s="22">
        <f>'Stavební rozpočet'!G110</f>
        <v>5</v>
      </c>
      <c r="K109" s="22">
        <v>0</v>
      </c>
      <c r="L109" s="79">
        <v>5</v>
      </c>
      <c r="M109" s="87" t="str">
        <f t="shared" si="17"/>
        <v>Nefakturováno</v>
      </c>
      <c r="N109" s="22">
        <f t="shared" si="18"/>
        <v>0</v>
      </c>
      <c r="O109" s="92">
        <f t="shared" si="19"/>
        <v>-100</v>
      </c>
      <c r="P109" s="39"/>
      <c r="AE109" s="22">
        <v>0</v>
      </c>
    </row>
    <row r="110" spans="1:31" ht="12.75">
      <c r="A110" s="6" t="s">
        <v>82</v>
      </c>
      <c r="B110" s="15"/>
      <c r="C110" s="15" t="s">
        <v>196</v>
      </c>
      <c r="D110" s="141" t="s">
        <v>319</v>
      </c>
      <c r="E110" s="142"/>
      <c r="F110" s="22">
        <f>'Stavební rozpočet'!K111</f>
        <v>0</v>
      </c>
      <c r="G110" s="22">
        <v>0</v>
      </c>
      <c r="H110" s="22">
        <f t="shared" si="15"/>
        <v>0</v>
      </c>
      <c r="I110" s="22">
        <f t="shared" si="16"/>
        <v>0</v>
      </c>
      <c r="J110" s="22">
        <f>'Stavební rozpočet'!G111</f>
        <v>2</v>
      </c>
      <c r="K110" s="22">
        <v>0</v>
      </c>
      <c r="L110" s="79">
        <v>2</v>
      </c>
      <c r="M110" s="87" t="str">
        <f t="shared" si="17"/>
        <v>Nefakturováno</v>
      </c>
      <c r="N110" s="22">
        <f t="shared" si="18"/>
        <v>0</v>
      </c>
      <c r="O110" s="92">
        <f t="shared" si="19"/>
        <v>-100</v>
      </c>
      <c r="P110" s="39"/>
      <c r="AE110" s="22">
        <v>0</v>
      </c>
    </row>
    <row r="111" spans="1:31" ht="12.75">
      <c r="A111" s="6" t="s">
        <v>83</v>
      </c>
      <c r="B111" s="15"/>
      <c r="C111" s="15" t="s">
        <v>197</v>
      </c>
      <c r="D111" s="141" t="s">
        <v>320</v>
      </c>
      <c r="E111" s="142"/>
      <c r="F111" s="22">
        <f>'Stavební rozpočet'!K112</f>
        <v>0</v>
      </c>
      <c r="G111" s="22">
        <v>0</v>
      </c>
      <c r="H111" s="22">
        <f t="shared" si="15"/>
        <v>0</v>
      </c>
      <c r="I111" s="22">
        <f t="shared" si="16"/>
        <v>0</v>
      </c>
      <c r="J111" s="22">
        <f>'Stavební rozpočet'!G112</f>
        <v>2</v>
      </c>
      <c r="K111" s="22">
        <v>0</v>
      </c>
      <c r="L111" s="79">
        <v>2</v>
      </c>
      <c r="M111" s="87" t="str">
        <f t="shared" si="17"/>
        <v>Nefakturováno</v>
      </c>
      <c r="N111" s="22">
        <f t="shared" si="18"/>
        <v>0</v>
      </c>
      <c r="O111" s="92">
        <f t="shared" si="19"/>
        <v>-100</v>
      </c>
      <c r="P111" s="39"/>
      <c r="AE111" s="22">
        <v>0</v>
      </c>
    </row>
    <row r="112" spans="1:31" ht="12.75">
      <c r="A112" s="6" t="s">
        <v>84</v>
      </c>
      <c r="B112" s="15"/>
      <c r="C112" s="15" t="s">
        <v>198</v>
      </c>
      <c r="D112" s="141" t="s">
        <v>321</v>
      </c>
      <c r="E112" s="142"/>
      <c r="F112" s="22">
        <f>'Stavební rozpočet'!K113</f>
        <v>0</v>
      </c>
      <c r="G112" s="22">
        <v>0</v>
      </c>
      <c r="H112" s="22">
        <f t="shared" si="15"/>
        <v>0</v>
      </c>
      <c r="I112" s="22">
        <f t="shared" si="16"/>
        <v>0</v>
      </c>
      <c r="J112" s="22">
        <f>'Stavební rozpočet'!G113</f>
        <v>1</v>
      </c>
      <c r="K112" s="22">
        <v>0</v>
      </c>
      <c r="L112" s="79">
        <v>1</v>
      </c>
      <c r="M112" s="87" t="str">
        <f t="shared" si="17"/>
        <v>Nefakturováno</v>
      </c>
      <c r="N112" s="22">
        <f t="shared" si="18"/>
        <v>0</v>
      </c>
      <c r="O112" s="92">
        <f t="shared" si="19"/>
        <v>-100</v>
      </c>
      <c r="P112" s="39"/>
      <c r="AE112" s="22">
        <v>0</v>
      </c>
    </row>
    <row r="113" spans="1:31" ht="12.75">
      <c r="A113" s="6" t="s">
        <v>85</v>
      </c>
      <c r="B113" s="15"/>
      <c r="C113" s="15" t="s">
        <v>199</v>
      </c>
      <c r="D113" s="141" t="s">
        <v>322</v>
      </c>
      <c r="E113" s="142"/>
      <c r="F113" s="22">
        <f>'Stavební rozpočet'!K114</f>
        <v>0</v>
      </c>
      <c r="G113" s="22">
        <v>0</v>
      </c>
      <c r="H113" s="22">
        <f t="shared" si="15"/>
        <v>0</v>
      </c>
      <c r="I113" s="22">
        <f t="shared" si="16"/>
        <v>0</v>
      </c>
      <c r="J113" s="22">
        <f>'Stavební rozpočet'!G114</f>
        <v>2</v>
      </c>
      <c r="K113" s="22">
        <v>0</v>
      </c>
      <c r="L113" s="79">
        <v>2</v>
      </c>
      <c r="M113" s="87" t="str">
        <f t="shared" si="17"/>
        <v>Nefakturováno</v>
      </c>
      <c r="N113" s="22">
        <f t="shared" si="18"/>
        <v>0</v>
      </c>
      <c r="O113" s="92">
        <f t="shared" si="19"/>
        <v>-100</v>
      </c>
      <c r="P113" s="39"/>
      <c r="AE113" s="22">
        <v>0</v>
      </c>
    </row>
    <row r="114" spans="1:31" ht="12.75">
      <c r="A114" s="6" t="s">
        <v>86</v>
      </c>
      <c r="B114" s="15"/>
      <c r="C114" s="15" t="s">
        <v>200</v>
      </c>
      <c r="D114" s="141" t="s">
        <v>323</v>
      </c>
      <c r="E114" s="142"/>
      <c r="F114" s="22">
        <f>'Stavební rozpočet'!K115</f>
        <v>0</v>
      </c>
      <c r="G114" s="22">
        <v>0</v>
      </c>
      <c r="H114" s="22">
        <f t="shared" si="15"/>
        <v>0</v>
      </c>
      <c r="I114" s="22">
        <f t="shared" si="16"/>
        <v>0</v>
      </c>
      <c r="J114" s="22">
        <f>'Stavební rozpočet'!G115</f>
        <v>2</v>
      </c>
      <c r="K114" s="22">
        <v>0</v>
      </c>
      <c r="L114" s="79">
        <v>2</v>
      </c>
      <c r="M114" s="87" t="str">
        <f t="shared" si="17"/>
        <v>Nefakturováno</v>
      </c>
      <c r="N114" s="22">
        <f t="shared" si="18"/>
        <v>0</v>
      </c>
      <c r="O114" s="92">
        <f t="shared" si="19"/>
        <v>-100</v>
      </c>
      <c r="P114" s="39"/>
      <c r="AE114" s="22">
        <v>0</v>
      </c>
    </row>
    <row r="115" spans="1:31" ht="12.75">
      <c r="A115" s="6" t="s">
        <v>87</v>
      </c>
      <c r="B115" s="15"/>
      <c r="C115" s="15" t="s">
        <v>201</v>
      </c>
      <c r="D115" s="141" t="s">
        <v>324</v>
      </c>
      <c r="E115" s="142"/>
      <c r="F115" s="22">
        <f>'Stavební rozpočet'!K116</f>
        <v>0</v>
      </c>
      <c r="G115" s="22">
        <v>0</v>
      </c>
      <c r="H115" s="22">
        <f t="shared" si="15"/>
        <v>0</v>
      </c>
      <c r="I115" s="22">
        <f t="shared" si="16"/>
        <v>0</v>
      </c>
      <c r="J115" s="22">
        <f>'Stavební rozpočet'!G116</f>
        <v>2</v>
      </c>
      <c r="K115" s="22">
        <v>0</v>
      </c>
      <c r="L115" s="79">
        <v>2</v>
      </c>
      <c r="M115" s="87" t="str">
        <f t="shared" si="17"/>
        <v>Nefakturováno</v>
      </c>
      <c r="N115" s="22">
        <f t="shared" si="18"/>
        <v>0</v>
      </c>
      <c r="O115" s="92">
        <f t="shared" si="19"/>
        <v>-100</v>
      </c>
      <c r="P115" s="39"/>
      <c r="AE115" s="22">
        <v>0</v>
      </c>
    </row>
    <row r="116" spans="1:31" ht="12.75">
      <c r="A116" s="6" t="s">
        <v>88</v>
      </c>
      <c r="B116" s="15"/>
      <c r="C116" s="15" t="s">
        <v>202</v>
      </c>
      <c r="D116" s="141" t="s">
        <v>325</v>
      </c>
      <c r="E116" s="142"/>
      <c r="F116" s="22">
        <f>'Stavební rozpočet'!K117</f>
        <v>0</v>
      </c>
      <c r="G116" s="22">
        <v>0</v>
      </c>
      <c r="H116" s="22">
        <f t="shared" si="15"/>
        <v>0</v>
      </c>
      <c r="I116" s="22">
        <f t="shared" si="16"/>
        <v>0</v>
      </c>
      <c r="J116" s="22">
        <f>'Stavební rozpočet'!G117</f>
        <v>4</v>
      </c>
      <c r="K116" s="22">
        <v>0</v>
      </c>
      <c r="L116" s="79">
        <v>4</v>
      </c>
      <c r="M116" s="87" t="str">
        <f t="shared" si="17"/>
        <v>Nefakturováno</v>
      </c>
      <c r="N116" s="22">
        <f t="shared" si="18"/>
        <v>0</v>
      </c>
      <c r="O116" s="92">
        <f t="shared" si="19"/>
        <v>-100</v>
      </c>
      <c r="P116" s="39"/>
      <c r="AE116" s="22">
        <v>0</v>
      </c>
    </row>
    <row r="117" spans="1:31" ht="12.75">
      <c r="A117" s="6" t="s">
        <v>89</v>
      </c>
      <c r="B117" s="15"/>
      <c r="C117" s="15" t="s">
        <v>203</v>
      </c>
      <c r="D117" s="141" t="s">
        <v>326</v>
      </c>
      <c r="E117" s="142"/>
      <c r="F117" s="22">
        <f>'Stavební rozpočet'!K118</f>
        <v>0</v>
      </c>
      <c r="G117" s="22">
        <v>0</v>
      </c>
      <c r="H117" s="22">
        <f t="shared" si="15"/>
        <v>0</v>
      </c>
      <c r="I117" s="22">
        <f t="shared" si="16"/>
        <v>0</v>
      </c>
      <c r="J117" s="22">
        <f>'Stavební rozpočet'!G118</f>
        <v>2</v>
      </c>
      <c r="K117" s="22">
        <v>0</v>
      </c>
      <c r="L117" s="79">
        <v>2</v>
      </c>
      <c r="M117" s="87" t="str">
        <f t="shared" si="17"/>
        <v>Nefakturováno</v>
      </c>
      <c r="N117" s="22">
        <f t="shared" si="18"/>
        <v>0</v>
      </c>
      <c r="O117" s="92">
        <f t="shared" si="19"/>
        <v>-100</v>
      </c>
      <c r="P117" s="39"/>
      <c r="AE117" s="22">
        <v>0</v>
      </c>
    </row>
    <row r="118" spans="1:31" ht="12.75">
      <c r="A118" s="6" t="s">
        <v>90</v>
      </c>
      <c r="B118" s="15"/>
      <c r="C118" s="15" t="s">
        <v>204</v>
      </c>
      <c r="D118" s="141" t="s">
        <v>327</v>
      </c>
      <c r="E118" s="142"/>
      <c r="F118" s="22">
        <f>'Stavební rozpočet'!K119</f>
        <v>0</v>
      </c>
      <c r="G118" s="22">
        <v>0</v>
      </c>
      <c r="H118" s="22">
        <f t="shared" si="15"/>
        <v>0</v>
      </c>
      <c r="I118" s="22">
        <f t="shared" si="16"/>
        <v>0</v>
      </c>
      <c r="J118" s="22">
        <f>'Stavební rozpočet'!G119</f>
        <v>1</v>
      </c>
      <c r="K118" s="22">
        <v>0</v>
      </c>
      <c r="L118" s="79">
        <v>1</v>
      </c>
      <c r="M118" s="87" t="str">
        <f t="shared" si="17"/>
        <v>Nefakturováno</v>
      </c>
      <c r="N118" s="22">
        <f t="shared" si="18"/>
        <v>0</v>
      </c>
      <c r="O118" s="92">
        <f t="shared" si="19"/>
        <v>-100</v>
      </c>
      <c r="P118" s="39"/>
      <c r="AE118" s="22">
        <v>0</v>
      </c>
    </row>
    <row r="119" spans="1:31" ht="12.75">
      <c r="A119" s="6" t="s">
        <v>91</v>
      </c>
      <c r="B119" s="15"/>
      <c r="C119" s="15" t="s">
        <v>205</v>
      </c>
      <c r="D119" s="141" t="s">
        <v>328</v>
      </c>
      <c r="E119" s="142"/>
      <c r="F119" s="22">
        <f>'Stavební rozpočet'!K120</f>
        <v>0</v>
      </c>
      <c r="G119" s="22">
        <v>0</v>
      </c>
      <c r="H119" s="22">
        <f t="shared" si="15"/>
        <v>0</v>
      </c>
      <c r="I119" s="22">
        <f t="shared" si="16"/>
        <v>0</v>
      </c>
      <c r="J119" s="22">
        <f>'Stavební rozpočet'!G120</f>
        <v>4</v>
      </c>
      <c r="K119" s="22">
        <v>0</v>
      </c>
      <c r="L119" s="79">
        <v>4</v>
      </c>
      <c r="M119" s="87" t="str">
        <f t="shared" si="17"/>
        <v>Nefakturováno</v>
      </c>
      <c r="N119" s="22">
        <f t="shared" si="18"/>
        <v>0</v>
      </c>
      <c r="O119" s="92">
        <f t="shared" si="19"/>
        <v>-100</v>
      </c>
      <c r="P119" s="39"/>
      <c r="AE119" s="22">
        <v>0</v>
      </c>
    </row>
    <row r="120" spans="1:31" ht="12.75">
      <c r="A120" s="6" t="s">
        <v>92</v>
      </c>
      <c r="B120" s="15"/>
      <c r="C120" s="15" t="s">
        <v>206</v>
      </c>
      <c r="D120" s="141" t="s">
        <v>329</v>
      </c>
      <c r="E120" s="142"/>
      <c r="F120" s="22">
        <f>'Stavební rozpočet'!K121</f>
        <v>0</v>
      </c>
      <c r="G120" s="22">
        <v>0</v>
      </c>
      <c r="H120" s="22">
        <f t="shared" si="15"/>
        <v>0</v>
      </c>
      <c r="I120" s="22">
        <f t="shared" si="16"/>
        <v>0</v>
      </c>
      <c r="J120" s="22">
        <f>'Stavební rozpočet'!G121</f>
        <v>1</v>
      </c>
      <c r="K120" s="22">
        <v>0</v>
      </c>
      <c r="L120" s="79">
        <v>1</v>
      </c>
      <c r="M120" s="87" t="str">
        <f t="shared" si="17"/>
        <v>Nefakturováno</v>
      </c>
      <c r="N120" s="22">
        <f t="shared" si="18"/>
        <v>0</v>
      </c>
      <c r="O120" s="92">
        <f t="shared" si="19"/>
        <v>-100</v>
      </c>
      <c r="P120" s="39"/>
      <c r="AE120" s="22">
        <v>0</v>
      </c>
    </row>
    <row r="121" spans="1:31" ht="12.75">
      <c r="A121" s="6" t="s">
        <v>93</v>
      </c>
      <c r="B121" s="15"/>
      <c r="C121" s="15" t="s">
        <v>207</v>
      </c>
      <c r="D121" s="141" t="s">
        <v>330</v>
      </c>
      <c r="E121" s="142"/>
      <c r="F121" s="22">
        <f>'Stavební rozpočet'!K122</f>
        <v>0</v>
      </c>
      <c r="G121" s="22">
        <v>0</v>
      </c>
      <c r="H121" s="22">
        <f t="shared" si="15"/>
        <v>0</v>
      </c>
      <c r="I121" s="22">
        <f t="shared" si="16"/>
        <v>0</v>
      </c>
      <c r="J121" s="22">
        <f>'Stavební rozpočet'!G122</f>
        <v>1</v>
      </c>
      <c r="K121" s="22">
        <v>0</v>
      </c>
      <c r="L121" s="79">
        <v>1</v>
      </c>
      <c r="M121" s="87" t="str">
        <f t="shared" si="17"/>
        <v>Nefakturováno</v>
      </c>
      <c r="N121" s="22">
        <f t="shared" si="18"/>
        <v>0</v>
      </c>
      <c r="O121" s="92">
        <f t="shared" si="19"/>
        <v>-100</v>
      </c>
      <c r="P121" s="39"/>
      <c r="AE121" s="22">
        <v>0</v>
      </c>
    </row>
    <row r="122" spans="1:31" ht="12.75">
      <c r="A122" s="6" t="s">
        <v>94</v>
      </c>
      <c r="B122" s="15"/>
      <c r="C122" s="15" t="s">
        <v>208</v>
      </c>
      <c r="D122" s="141" t="s">
        <v>331</v>
      </c>
      <c r="E122" s="142"/>
      <c r="F122" s="22">
        <f>'Stavební rozpočet'!K123</f>
        <v>0</v>
      </c>
      <c r="G122" s="22">
        <v>0</v>
      </c>
      <c r="H122" s="22">
        <f t="shared" si="15"/>
        <v>0</v>
      </c>
      <c r="I122" s="22">
        <f t="shared" si="16"/>
        <v>0</v>
      </c>
      <c r="J122" s="22">
        <f>'Stavební rozpočet'!G123</f>
        <v>1</v>
      </c>
      <c r="K122" s="22">
        <v>0</v>
      </c>
      <c r="L122" s="79">
        <v>1</v>
      </c>
      <c r="M122" s="87" t="str">
        <f t="shared" si="17"/>
        <v>Nefakturováno</v>
      </c>
      <c r="N122" s="22">
        <f t="shared" si="18"/>
        <v>0</v>
      </c>
      <c r="O122" s="92">
        <f t="shared" si="19"/>
        <v>-100</v>
      </c>
      <c r="P122" s="39"/>
      <c r="AE122" s="22">
        <v>0</v>
      </c>
    </row>
    <row r="123" spans="1:31" ht="12.75">
      <c r="A123" s="6" t="s">
        <v>95</v>
      </c>
      <c r="B123" s="15"/>
      <c r="C123" s="15" t="s">
        <v>209</v>
      </c>
      <c r="D123" s="141" t="s">
        <v>332</v>
      </c>
      <c r="E123" s="142"/>
      <c r="F123" s="22">
        <f>'Stavební rozpočet'!K124</f>
        <v>0</v>
      </c>
      <c r="G123" s="22">
        <v>0</v>
      </c>
      <c r="H123" s="22">
        <f t="shared" si="15"/>
        <v>0</v>
      </c>
      <c r="I123" s="22">
        <f t="shared" si="16"/>
        <v>0</v>
      </c>
      <c r="J123" s="22">
        <f>'Stavební rozpočet'!G124</f>
        <v>20</v>
      </c>
      <c r="K123" s="22">
        <v>0</v>
      </c>
      <c r="L123" s="79">
        <v>20</v>
      </c>
      <c r="M123" s="87" t="str">
        <f t="shared" si="17"/>
        <v>Nefakturováno</v>
      </c>
      <c r="N123" s="22">
        <f t="shared" si="18"/>
        <v>0</v>
      </c>
      <c r="O123" s="92">
        <f t="shared" si="19"/>
        <v>-100</v>
      </c>
      <c r="P123" s="39"/>
      <c r="AE123" s="22">
        <v>0</v>
      </c>
    </row>
    <row r="124" spans="1:31" ht="12.75">
      <c r="A124" s="6" t="s">
        <v>96</v>
      </c>
      <c r="B124" s="15"/>
      <c r="C124" s="15" t="s">
        <v>210</v>
      </c>
      <c r="D124" s="141" t="s">
        <v>333</v>
      </c>
      <c r="E124" s="142"/>
      <c r="F124" s="22">
        <f>'Stavební rozpočet'!K125</f>
        <v>0</v>
      </c>
      <c r="G124" s="22">
        <v>0</v>
      </c>
      <c r="H124" s="22">
        <f t="shared" si="15"/>
        <v>0</v>
      </c>
      <c r="I124" s="22">
        <f t="shared" si="16"/>
        <v>0</v>
      </c>
      <c r="J124" s="22">
        <f>'Stavební rozpočet'!G125</f>
        <v>10</v>
      </c>
      <c r="K124" s="22">
        <v>0</v>
      </c>
      <c r="L124" s="79">
        <v>10</v>
      </c>
      <c r="M124" s="87" t="str">
        <f t="shared" si="17"/>
        <v>Nefakturováno</v>
      </c>
      <c r="N124" s="22">
        <f t="shared" si="18"/>
        <v>0</v>
      </c>
      <c r="O124" s="92">
        <f t="shared" si="19"/>
        <v>-100</v>
      </c>
      <c r="P124" s="39"/>
      <c r="AE124" s="22">
        <v>0</v>
      </c>
    </row>
    <row r="125" spans="1:31" ht="12.75">
      <c r="A125" s="6" t="s">
        <v>97</v>
      </c>
      <c r="B125" s="15"/>
      <c r="C125" s="15" t="s">
        <v>211</v>
      </c>
      <c r="D125" s="141" t="s">
        <v>334</v>
      </c>
      <c r="E125" s="142"/>
      <c r="F125" s="22">
        <f>'Stavební rozpočet'!K126</f>
        <v>0</v>
      </c>
      <c r="G125" s="22">
        <v>0</v>
      </c>
      <c r="H125" s="22">
        <f t="shared" si="15"/>
        <v>0</v>
      </c>
      <c r="I125" s="22">
        <f t="shared" si="16"/>
        <v>0</v>
      </c>
      <c r="J125" s="22">
        <f>'Stavební rozpočet'!G126</f>
        <v>1</v>
      </c>
      <c r="K125" s="22">
        <v>0</v>
      </c>
      <c r="L125" s="79">
        <v>1</v>
      </c>
      <c r="M125" s="87" t="str">
        <f t="shared" si="17"/>
        <v>Nefakturováno</v>
      </c>
      <c r="N125" s="22">
        <f t="shared" si="18"/>
        <v>0</v>
      </c>
      <c r="O125" s="92">
        <f t="shared" si="19"/>
        <v>-100</v>
      </c>
      <c r="P125" s="39"/>
      <c r="AE125" s="22">
        <v>0</v>
      </c>
    </row>
    <row r="126" spans="1:31" ht="12.75">
      <c r="A126" s="6" t="s">
        <v>98</v>
      </c>
      <c r="B126" s="15"/>
      <c r="C126" s="15" t="s">
        <v>212</v>
      </c>
      <c r="D126" s="141" t="s">
        <v>335</v>
      </c>
      <c r="E126" s="142"/>
      <c r="F126" s="22">
        <f>'Stavební rozpočet'!K127</f>
        <v>0</v>
      </c>
      <c r="G126" s="22">
        <v>0</v>
      </c>
      <c r="H126" s="22">
        <f t="shared" si="15"/>
        <v>0</v>
      </c>
      <c r="I126" s="22">
        <f t="shared" si="16"/>
        <v>0</v>
      </c>
      <c r="J126" s="22">
        <f>'Stavební rozpočet'!G127</f>
        <v>12</v>
      </c>
      <c r="K126" s="22">
        <v>0</v>
      </c>
      <c r="L126" s="79">
        <v>12</v>
      </c>
      <c r="M126" s="87" t="str">
        <f t="shared" si="17"/>
        <v>Nefakturováno</v>
      </c>
      <c r="N126" s="22">
        <f t="shared" si="18"/>
        <v>0</v>
      </c>
      <c r="O126" s="92">
        <f t="shared" si="19"/>
        <v>-100</v>
      </c>
      <c r="P126" s="39"/>
      <c r="AE126" s="22">
        <v>0</v>
      </c>
    </row>
    <row r="127" spans="1:31" ht="12.75">
      <c r="A127" s="6" t="s">
        <v>99</v>
      </c>
      <c r="B127" s="15"/>
      <c r="C127" s="15" t="s">
        <v>213</v>
      </c>
      <c r="D127" s="141" t="s">
        <v>336</v>
      </c>
      <c r="E127" s="142"/>
      <c r="F127" s="22">
        <f>'Stavební rozpočet'!K128</f>
        <v>0</v>
      </c>
      <c r="G127" s="22">
        <v>0</v>
      </c>
      <c r="H127" s="22">
        <f t="shared" si="15"/>
        <v>0</v>
      </c>
      <c r="I127" s="22">
        <f t="shared" si="16"/>
        <v>0</v>
      </c>
      <c r="J127" s="22">
        <f>'Stavební rozpočet'!G128</f>
        <v>9</v>
      </c>
      <c r="K127" s="22">
        <v>0</v>
      </c>
      <c r="L127" s="79">
        <v>9</v>
      </c>
      <c r="M127" s="87" t="str">
        <f t="shared" si="17"/>
        <v>Nefakturováno</v>
      </c>
      <c r="N127" s="22">
        <f t="shared" si="18"/>
        <v>0</v>
      </c>
      <c r="O127" s="92">
        <f t="shared" si="19"/>
        <v>-100</v>
      </c>
      <c r="P127" s="39"/>
      <c r="AE127" s="22">
        <v>0</v>
      </c>
    </row>
    <row r="128" spans="1:31" ht="12.75">
      <c r="A128" s="6" t="s">
        <v>100</v>
      </c>
      <c r="B128" s="15"/>
      <c r="C128" s="15" t="s">
        <v>214</v>
      </c>
      <c r="D128" s="141" t="s">
        <v>337</v>
      </c>
      <c r="E128" s="142"/>
      <c r="F128" s="22">
        <f>'Stavební rozpočet'!K129</f>
        <v>0</v>
      </c>
      <c r="G128" s="22">
        <v>0</v>
      </c>
      <c r="H128" s="22">
        <f t="shared" si="15"/>
        <v>0</v>
      </c>
      <c r="I128" s="22">
        <f t="shared" si="16"/>
        <v>0</v>
      </c>
      <c r="J128" s="22">
        <f>'Stavební rozpočet'!G129</f>
        <v>9</v>
      </c>
      <c r="K128" s="22">
        <v>0</v>
      </c>
      <c r="L128" s="79">
        <v>9</v>
      </c>
      <c r="M128" s="87" t="str">
        <f t="shared" si="17"/>
        <v>Nefakturováno</v>
      </c>
      <c r="N128" s="22">
        <f t="shared" si="18"/>
        <v>0</v>
      </c>
      <c r="O128" s="92">
        <f t="shared" si="19"/>
        <v>-100</v>
      </c>
      <c r="P128" s="39"/>
      <c r="AE128" s="22">
        <v>0</v>
      </c>
    </row>
    <row r="129" spans="1:31" ht="12.75">
      <c r="A129" s="7" t="s">
        <v>101</v>
      </c>
      <c r="B129" s="16"/>
      <c r="C129" s="16" t="s">
        <v>215</v>
      </c>
      <c r="D129" s="143" t="s">
        <v>338</v>
      </c>
      <c r="E129" s="144"/>
      <c r="F129" s="23">
        <f>'Stavební rozpočet'!K130</f>
        <v>0</v>
      </c>
      <c r="G129" s="23">
        <v>0</v>
      </c>
      <c r="H129" s="23">
        <f t="shared" si="15"/>
        <v>0</v>
      </c>
      <c r="I129" s="23">
        <f t="shared" si="16"/>
        <v>0</v>
      </c>
      <c r="J129" s="23">
        <f>'Stavební rozpočet'!G130</f>
        <v>12</v>
      </c>
      <c r="K129" s="23">
        <v>0</v>
      </c>
      <c r="L129" s="80">
        <v>12</v>
      </c>
      <c r="M129" s="88" t="str">
        <f t="shared" si="17"/>
        <v>Nefakturováno</v>
      </c>
      <c r="N129" s="23">
        <f t="shared" si="18"/>
        <v>0</v>
      </c>
      <c r="O129" s="93">
        <f t="shared" si="19"/>
        <v>-100</v>
      </c>
      <c r="P129" s="39"/>
      <c r="AE129" s="22">
        <v>0</v>
      </c>
    </row>
    <row r="130" spans="1:15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ht="11.25" customHeight="1">
      <c r="A131" s="9" t="s">
        <v>102</v>
      </c>
    </row>
    <row r="132" spans="1:10" ht="12.75">
      <c r="A132" s="123"/>
      <c r="B132" s="114"/>
      <c r="C132" s="114"/>
      <c r="D132" s="114"/>
      <c r="E132" s="114"/>
      <c r="F132" s="114"/>
      <c r="G132" s="114"/>
      <c r="H132" s="114"/>
      <c r="I132" s="114"/>
      <c r="J132" s="114"/>
    </row>
  </sheetData>
  <sheetProtection/>
  <mergeCells count="146">
    <mergeCell ref="A132:J132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8:A9"/>
    <mergeCell ref="B8:D9"/>
    <mergeCell ref="E8:E9"/>
    <mergeCell ref="F8:F9"/>
    <mergeCell ref="G8:G9"/>
    <mergeCell ref="H8:O9"/>
    <mergeCell ref="A6:A7"/>
    <mergeCell ref="B6:D7"/>
    <mergeCell ref="E6:E7"/>
    <mergeCell ref="F6:F7"/>
    <mergeCell ref="G6:G7"/>
    <mergeCell ref="H6:O7"/>
    <mergeCell ref="A4:A5"/>
    <mergeCell ref="B4:D5"/>
    <mergeCell ref="E4:E5"/>
    <mergeCell ref="F4:F5"/>
    <mergeCell ref="G4:G5"/>
    <mergeCell ref="H4:O5"/>
    <mergeCell ref="A1:O1"/>
    <mergeCell ref="A2:A3"/>
    <mergeCell ref="B2:D3"/>
    <mergeCell ref="E2:E3"/>
    <mergeCell ref="F2:F3"/>
    <mergeCell ref="G2:G3"/>
    <mergeCell ref="H2:O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J19" sqref="J18:J1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08"/>
      <c r="B1" s="94"/>
      <c r="C1" s="158" t="s">
        <v>461</v>
      </c>
      <c r="D1" s="110"/>
      <c r="E1" s="110"/>
      <c r="F1" s="110"/>
      <c r="G1" s="110"/>
      <c r="H1" s="110"/>
      <c r="I1" s="110"/>
    </row>
    <row r="2" spans="1:10" ht="12.75">
      <c r="A2" s="111" t="s">
        <v>0</v>
      </c>
      <c r="B2" s="112"/>
      <c r="C2" s="115" t="str">
        <f>'Stavební rozpočet'!D2</f>
        <v>OPRAVA SESTEREN A KLUBOVEN</v>
      </c>
      <c r="D2" s="116"/>
      <c r="E2" s="119" t="s">
        <v>357</v>
      </c>
      <c r="F2" s="119" t="str">
        <f>'Stavební rozpočet'!J2</f>
        <v> </v>
      </c>
      <c r="G2" s="112"/>
      <c r="H2" s="119" t="s">
        <v>486</v>
      </c>
      <c r="I2" s="159"/>
      <c r="J2" s="39"/>
    </row>
    <row r="3" spans="1:10" ht="12.75">
      <c r="A3" s="113"/>
      <c r="B3" s="114"/>
      <c r="C3" s="117"/>
      <c r="D3" s="117"/>
      <c r="E3" s="114"/>
      <c r="F3" s="114"/>
      <c r="G3" s="114"/>
      <c r="H3" s="114"/>
      <c r="I3" s="121"/>
      <c r="J3" s="39"/>
    </row>
    <row r="4" spans="1:10" ht="12.75">
      <c r="A4" s="122" t="s">
        <v>1</v>
      </c>
      <c r="B4" s="114"/>
      <c r="C4" s="123" t="str">
        <f>'Stavební rozpočet'!D4</f>
        <v>Objekt DS 1, III.N.p. - sesterna</v>
      </c>
      <c r="D4" s="114"/>
      <c r="E4" s="123" t="s">
        <v>358</v>
      </c>
      <c r="F4" s="123" t="str">
        <f>'Stavební rozpočet'!J4</f>
        <v> </v>
      </c>
      <c r="G4" s="114"/>
      <c r="H4" s="123" t="s">
        <v>486</v>
      </c>
      <c r="I4" s="160"/>
      <c r="J4" s="39"/>
    </row>
    <row r="5" spans="1:10" ht="12.75">
      <c r="A5" s="113"/>
      <c r="B5" s="114"/>
      <c r="C5" s="114"/>
      <c r="D5" s="114"/>
      <c r="E5" s="114"/>
      <c r="F5" s="114"/>
      <c r="G5" s="114"/>
      <c r="H5" s="114"/>
      <c r="I5" s="121"/>
      <c r="J5" s="39"/>
    </row>
    <row r="6" spans="1:10" ht="12.75">
      <c r="A6" s="122" t="s">
        <v>2</v>
      </c>
      <c r="B6" s="114"/>
      <c r="C6" s="123" t="str">
        <f>'Stavební rozpočet'!D6</f>
        <v>Domov Sedlčany, poskytovatel sociálních služeb</v>
      </c>
      <c r="D6" s="114"/>
      <c r="E6" s="123" t="s">
        <v>359</v>
      </c>
      <c r="F6" s="123" t="str">
        <f>'Stavební rozpočet'!J6</f>
        <v> </v>
      </c>
      <c r="G6" s="114"/>
      <c r="H6" s="123" t="s">
        <v>486</v>
      </c>
      <c r="I6" s="160"/>
      <c r="J6" s="39"/>
    </row>
    <row r="7" spans="1:10" ht="12.75">
      <c r="A7" s="113"/>
      <c r="B7" s="114"/>
      <c r="C7" s="114"/>
      <c r="D7" s="114"/>
      <c r="E7" s="114"/>
      <c r="F7" s="114"/>
      <c r="G7" s="114"/>
      <c r="H7" s="114"/>
      <c r="I7" s="121"/>
      <c r="J7" s="39"/>
    </row>
    <row r="8" spans="1:10" ht="12.75">
      <c r="A8" s="122" t="s">
        <v>340</v>
      </c>
      <c r="B8" s="114"/>
      <c r="C8" s="123" t="str">
        <f>'Stavební rozpočet'!H4</f>
        <v>15.11.2021</v>
      </c>
      <c r="D8" s="114"/>
      <c r="E8" s="123" t="s">
        <v>341</v>
      </c>
      <c r="F8" s="123" t="str">
        <f>'Stavební rozpočet'!H6</f>
        <v>31.03.2022</v>
      </c>
      <c r="G8" s="114"/>
      <c r="H8" s="124" t="s">
        <v>487</v>
      </c>
      <c r="I8" s="160" t="s">
        <v>101</v>
      </c>
      <c r="J8" s="39"/>
    </row>
    <row r="9" spans="1:10" ht="12.75">
      <c r="A9" s="113"/>
      <c r="B9" s="114"/>
      <c r="C9" s="114"/>
      <c r="D9" s="114"/>
      <c r="E9" s="114"/>
      <c r="F9" s="114"/>
      <c r="G9" s="114"/>
      <c r="H9" s="114"/>
      <c r="I9" s="121"/>
      <c r="J9" s="39"/>
    </row>
    <row r="10" spans="1:10" ht="12.75">
      <c r="A10" s="122" t="s">
        <v>3</v>
      </c>
      <c r="B10" s="114"/>
      <c r="C10" s="123">
        <f>'Stavební rozpočet'!D8</f>
        <v>8012122</v>
      </c>
      <c r="D10" s="114"/>
      <c r="E10" s="123" t="s">
        <v>360</v>
      </c>
      <c r="F10" s="123" t="str">
        <f>'Stavební rozpočet'!J8</f>
        <v>Mgr. Josef Šimonvský</v>
      </c>
      <c r="G10" s="114"/>
      <c r="H10" s="124" t="s">
        <v>488</v>
      </c>
      <c r="I10" s="147" t="str">
        <f>'Stavební rozpočet'!H8</f>
        <v>31.10.2021</v>
      </c>
      <c r="J10" s="39"/>
    </row>
    <row r="11" spans="1:10" ht="12.75">
      <c r="A11" s="153"/>
      <c r="B11" s="154"/>
      <c r="C11" s="154"/>
      <c r="D11" s="154"/>
      <c r="E11" s="154"/>
      <c r="F11" s="154"/>
      <c r="G11" s="154"/>
      <c r="H11" s="154"/>
      <c r="I11" s="155"/>
      <c r="J11" s="39"/>
    </row>
    <row r="12" spans="1:9" ht="23.25" customHeight="1">
      <c r="A12" s="161" t="s">
        <v>447</v>
      </c>
      <c r="B12" s="162"/>
      <c r="C12" s="162"/>
      <c r="D12" s="162"/>
      <c r="E12" s="162"/>
      <c r="F12" s="162"/>
      <c r="G12" s="162"/>
      <c r="H12" s="162"/>
      <c r="I12" s="162"/>
    </row>
    <row r="13" spans="1:10" ht="26.25" customHeight="1">
      <c r="A13" s="95" t="s">
        <v>448</v>
      </c>
      <c r="B13" s="163" t="s">
        <v>459</v>
      </c>
      <c r="C13" s="164"/>
      <c r="D13" s="95" t="s">
        <v>462</v>
      </c>
      <c r="E13" s="163" t="s">
        <v>471</v>
      </c>
      <c r="F13" s="164"/>
      <c r="G13" s="95" t="s">
        <v>472</v>
      </c>
      <c r="H13" s="163" t="s">
        <v>489</v>
      </c>
      <c r="I13" s="164"/>
      <c r="J13" s="39"/>
    </row>
    <row r="14" spans="1:10" ht="15" customHeight="1">
      <c r="A14" s="96" t="s">
        <v>449</v>
      </c>
      <c r="B14" s="99" t="s">
        <v>460</v>
      </c>
      <c r="C14" s="102">
        <f>SUM('Stavební rozpočet'!AB12:AB130)</f>
        <v>0</v>
      </c>
      <c r="D14" s="165" t="s">
        <v>463</v>
      </c>
      <c r="E14" s="166"/>
      <c r="F14" s="102">
        <v>0</v>
      </c>
      <c r="G14" s="165" t="s">
        <v>473</v>
      </c>
      <c r="H14" s="166"/>
      <c r="I14" s="102">
        <f>ROUND(C22*(2.5/100),2)</f>
        <v>0</v>
      </c>
      <c r="J14" s="39"/>
    </row>
    <row r="15" spans="1:10" ht="15" customHeight="1">
      <c r="A15" s="97"/>
      <c r="B15" s="99" t="s">
        <v>366</v>
      </c>
      <c r="C15" s="102">
        <f>SUM('Stavební rozpočet'!AC12:AC130)</f>
        <v>0</v>
      </c>
      <c r="D15" s="165" t="s">
        <v>464</v>
      </c>
      <c r="E15" s="166"/>
      <c r="F15" s="102">
        <v>0</v>
      </c>
      <c r="G15" s="165" t="s">
        <v>474</v>
      </c>
      <c r="H15" s="166"/>
      <c r="I15" s="102">
        <v>0</v>
      </c>
      <c r="J15" s="39"/>
    </row>
    <row r="16" spans="1:10" ht="15" customHeight="1">
      <c r="A16" s="96" t="s">
        <v>450</v>
      </c>
      <c r="B16" s="99" t="s">
        <v>460</v>
      </c>
      <c r="C16" s="102">
        <f>SUM('Stavební rozpočet'!AD12:AD130)</f>
        <v>0</v>
      </c>
      <c r="D16" s="165" t="s">
        <v>465</v>
      </c>
      <c r="E16" s="166"/>
      <c r="F16" s="102">
        <v>0</v>
      </c>
      <c r="G16" s="165" t="s">
        <v>475</v>
      </c>
      <c r="H16" s="166"/>
      <c r="I16" s="102">
        <v>0</v>
      </c>
      <c r="J16" s="39"/>
    </row>
    <row r="17" spans="1:10" ht="15" customHeight="1">
      <c r="A17" s="97"/>
      <c r="B17" s="99" t="s">
        <v>366</v>
      </c>
      <c r="C17" s="102">
        <f>SUM('Stavební rozpočet'!AE12:AE130)</f>
        <v>0</v>
      </c>
      <c r="D17" s="165"/>
      <c r="E17" s="166"/>
      <c r="F17" s="103"/>
      <c r="G17" s="165" t="s">
        <v>476</v>
      </c>
      <c r="H17" s="166"/>
      <c r="I17" s="102">
        <v>0</v>
      </c>
      <c r="J17" s="39"/>
    </row>
    <row r="18" spans="1:10" ht="15" customHeight="1">
      <c r="A18" s="96" t="s">
        <v>451</v>
      </c>
      <c r="B18" s="99" t="s">
        <v>460</v>
      </c>
      <c r="C18" s="102">
        <f>SUM('Stavební rozpočet'!AF12:AF130)</f>
        <v>0</v>
      </c>
      <c r="D18" s="165"/>
      <c r="E18" s="166"/>
      <c r="F18" s="103"/>
      <c r="G18" s="165" t="s">
        <v>477</v>
      </c>
      <c r="H18" s="166"/>
      <c r="I18" s="102">
        <v>0</v>
      </c>
      <c r="J18" s="39"/>
    </row>
    <row r="19" spans="1:10" ht="15" customHeight="1">
      <c r="A19" s="97"/>
      <c r="B19" s="99" t="s">
        <v>366</v>
      </c>
      <c r="C19" s="102">
        <f>SUM('Stavební rozpočet'!AG12:AG130)</f>
        <v>0</v>
      </c>
      <c r="D19" s="165"/>
      <c r="E19" s="166"/>
      <c r="F19" s="103"/>
      <c r="G19" s="165" t="s">
        <v>478</v>
      </c>
      <c r="H19" s="166"/>
      <c r="I19" s="102">
        <v>0</v>
      </c>
      <c r="J19" s="39"/>
    </row>
    <row r="20" spans="1:10" ht="15" customHeight="1">
      <c r="A20" s="167" t="s">
        <v>315</v>
      </c>
      <c r="B20" s="168"/>
      <c r="C20" s="102">
        <f>SUM('Stavební rozpočet'!AH12:AH130)</f>
        <v>0</v>
      </c>
      <c r="D20" s="165"/>
      <c r="E20" s="166"/>
      <c r="F20" s="103"/>
      <c r="G20" s="165"/>
      <c r="H20" s="166"/>
      <c r="I20" s="103"/>
      <c r="J20" s="39"/>
    </row>
    <row r="21" spans="1:10" ht="15" customHeight="1">
      <c r="A21" s="167" t="s">
        <v>452</v>
      </c>
      <c r="B21" s="168"/>
      <c r="C21" s="102">
        <f>SUM('Stavební rozpočet'!Z12:Z130)</f>
        <v>0</v>
      </c>
      <c r="D21" s="165"/>
      <c r="E21" s="166"/>
      <c r="F21" s="103"/>
      <c r="G21" s="165"/>
      <c r="H21" s="166"/>
      <c r="I21" s="103"/>
      <c r="J21" s="39"/>
    </row>
    <row r="22" spans="1:10" ht="16.5" customHeight="1">
      <c r="A22" s="167" t="s">
        <v>453</v>
      </c>
      <c r="B22" s="168"/>
      <c r="C22" s="102">
        <f>SUM(C14:C21)</f>
        <v>0</v>
      </c>
      <c r="D22" s="167" t="s">
        <v>466</v>
      </c>
      <c r="E22" s="168"/>
      <c r="F22" s="102">
        <f>SUM(F14:F21)</f>
        <v>0</v>
      </c>
      <c r="G22" s="167" t="s">
        <v>479</v>
      </c>
      <c r="H22" s="168"/>
      <c r="I22" s="102">
        <f>SUM(I14:I21)</f>
        <v>0</v>
      </c>
      <c r="J22" s="39"/>
    </row>
    <row r="23" spans="1:10" ht="15" customHeight="1">
      <c r="A23" s="8"/>
      <c r="B23" s="8"/>
      <c r="C23" s="100"/>
      <c r="D23" s="167" t="s">
        <v>467</v>
      </c>
      <c r="E23" s="168"/>
      <c r="F23" s="104">
        <v>0</v>
      </c>
      <c r="G23" s="167" t="s">
        <v>480</v>
      </c>
      <c r="H23" s="168"/>
      <c r="I23" s="102">
        <v>0</v>
      </c>
      <c r="J23" s="39"/>
    </row>
    <row r="24" spans="4:10" ht="15" customHeight="1">
      <c r="D24" s="8"/>
      <c r="E24" s="8"/>
      <c r="F24" s="105"/>
      <c r="G24" s="167" t="s">
        <v>481</v>
      </c>
      <c r="H24" s="168"/>
      <c r="I24" s="102">
        <v>0</v>
      </c>
      <c r="J24" s="39"/>
    </row>
    <row r="25" spans="6:10" ht="15" customHeight="1">
      <c r="F25" s="106"/>
      <c r="G25" s="167" t="s">
        <v>482</v>
      </c>
      <c r="H25" s="168"/>
      <c r="I25" s="102">
        <v>0</v>
      </c>
      <c r="J25" s="39"/>
    </row>
    <row r="26" spans="1:9" ht="12.75">
      <c r="A26" s="94"/>
      <c r="B26" s="94"/>
      <c r="C26" s="94"/>
      <c r="G26" s="8"/>
      <c r="H26" s="8"/>
      <c r="I26" s="8"/>
    </row>
    <row r="27" spans="1:9" ht="15" customHeight="1">
      <c r="A27" s="169" t="s">
        <v>454</v>
      </c>
      <c r="B27" s="170"/>
      <c r="C27" s="107">
        <f>SUM('Stavební rozpočet'!AJ12:AJ130)</f>
        <v>0</v>
      </c>
      <c r="D27" s="101"/>
      <c r="E27" s="94"/>
      <c r="F27" s="94"/>
      <c r="G27" s="94"/>
      <c r="H27" s="94"/>
      <c r="I27" s="94"/>
    </row>
    <row r="28" spans="1:10" ht="15" customHeight="1">
      <c r="A28" s="169" t="s">
        <v>455</v>
      </c>
      <c r="B28" s="170"/>
      <c r="C28" s="107">
        <f>SUM('Stavební rozpočet'!AK12:AK130)+(F22+I22+F23+I23+I24+I25)</f>
        <v>0</v>
      </c>
      <c r="D28" s="169" t="s">
        <v>468</v>
      </c>
      <c r="E28" s="170"/>
      <c r="F28" s="107">
        <f>ROUND(C28*(15/100),2)</f>
        <v>0</v>
      </c>
      <c r="G28" s="169" t="s">
        <v>483</v>
      </c>
      <c r="H28" s="170"/>
      <c r="I28" s="107">
        <f>SUM(C27:C29)</f>
        <v>0</v>
      </c>
      <c r="J28" s="39"/>
    </row>
    <row r="29" spans="1:10" ht="15" customHeight="1">
      <c r="A29" s="169" t="s">
        <v>456</v>
      </c>
      <c r="B29" s="170"/>
      <c r="C29" s="107">
        <f>SUM('Stavební rozpočet'!AL12:AL130)</f>
        <v>0</v>
      </c>
      <c r="D29" s="169" t="s">
        <v>469</v>
      </c>
      <c r="E29" s="170"/>
      <c r="F29" s="107">
        <f>ROUND(C29*(21/100),2)</f>
        <v>0</v>
      </c>
      <c r="G29" s="169" t="s">
        <v>484</v>
      </c>
      <c r="H29" s="170"/>
      <c r="I29" s="107">
        <f>SUM(F28:F29)+I28</f>
        <v>0</v>
      </c>
      <c r="J29" s="39"/>
    </row>
    <row r="30" spans="1:9" ht="12.75">
      <c r="A30" s="98"/>
      <c r="B30" s="98"/>
      <c r="C30" s="98"/>
      <c r="D30" s="98"/>
      <c r="E30" s="98"/>
      <c r="F30" s="98"/>
      <c r="G30" s="98"/>
      <c r="H30" s="98"/>
      <c r="I30" s="98"/>
    </row>
    <row r="31" spans="1:10" ht="14.25" customHeight="1">
      <c r="A31" s="171" t="s">
        <v>457</v>
      </c>
      <c r="B31" s="172"/>
      <c r="C31" s="173"/>
      <c r="D31" s="171" t="s">
        <v>470</v>
      </c>
      <c r="E31" s="172"/>
      <c r="F31" s="173"/>
      <c r="G31" s="171" t="s">
        <v>485</v>
      </c>
      <c r="H31" s="172"/>
      <c r="I31" s="173"/>
      <c r="J31" s="40"/>
    </row>
    <row r="32" spans="1:10" ht="14.25" customHeight="1">
      <c r="A32" s="174"/>
      <c r="B32" s="175"/>
      <c r="C32" s="176"/>
      <c r="D32" s="174"/>
      <c r="E32" s="175"/>
      <c r="F32" s="176"/>
      <c r="G32" s="174"/>
      <c r="H32" s="175"/>
      <c r="I32" s="176"/>
      <c r="J32" s="40"/>
    </row>
    <row r="33" spans="1:10" ht="14.25" customHeight="1">
      <c r="A33" s="174"/>
      <c r="B33" s="175"/>
      <c r="C33" s="176"/>
      <c r="D33" s="174"/>
      <c r="E33" s="175"/>
      <c r="F33" s="176"/>
      <c r="G33" s="174"/>
      <c r="H33" s="175"/>
      <c r="I33" s="176"/>
      <c r="J33" s="40"/>
    </row>
    <row r="34" spans="1:10" ht="14.25" customHeight="1">
      <c r="A34" s="174"/>
      <c r="B34" s="175"/>
      <c r="C34" s="176"/>
      <c r="D34" s="174"/>
      <c r="E34" s="175"/>
      <c r="F34" s="176"/>
      <c r="G34" s="174"/>
      <c r="H34" s="175"/>
      <c r="I34" s="176"/>
      <c r="J34" s="40"/>
    </row>
    <row r="35" spans="1:10" ht="14.25" customHeight="1">
      <c r="A35" s="177" t="s">
        <v>458</v>
      </c>
      <c r="B35" s="178"/>
      <c r="C35" s="179"/>
      <c r="D35" s="177" t="s">
        <v>458</v>
      </c>
      <c r="E35" s="178"/>
      <c r="F35" s="179"/>
      <c r="G35" s="177" t="s">
        <v>458</v>
      </c>
      <c r="H35" s="178"/>
      <c r="I35" s="179"/>
      <c r="J35" s="40"/>
    </row>
    <row r="36" spans="1:9" ht="11.25" customHeight="1">
      <c r="A36" s="70" t="s">
        <v>102</v>
      </c>
      <c r="B36" s="72"/>
      <c r="C36" s="72"/>
      <c r="D36" s="72"/>
      <c r="E36" s="72"/>
      <c r="F36" s="72"/>
      <c r="G36" s="72"/>
      <c r="H36" s="72"/>
      <c r="I36" s="72"/>
    </row>
    <row r="37" spans="1:9" ht="12.75">
      <c r="A37" s="123"/>
      <c r="B37" s="114"/>
      <c r="C37" s="114"/>
      <c r="D37" s="114"/>
      <c r="E37" s="114"/>
      <c r="F37" s="114"/>
      <c r="G37" s="114"/>
      <c r="H37" s="114"/>
      <c r="I37" s="11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Stas-Dobris</dc:creator>
  <cp:keywords/>
  <dc:description/>
  <cp:lastModifiedBy>Stas-Dobris</cp:lastModifiedBy>
  <dcterms:created xsi:type="dcterms:W3CDTF">2021-11-26T05:59:31Z</dcterms:created>
  <dcterms:modified xsi:type="dcterms:W3CDTF">2021-11-26T06:01:57Z</dcterms:modified>
  <cp:category/>
  <cp:version/>
  <cp:contentType/>
  <cp:contentStatus/>
</cp:coreProperties>
</file>